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tha/Desktop/libro glándula mamaria/Tomo 2 la alctancia vista desde multiples enfoques/C. IV. Arbol de decisiones para el control de la mastitis en el hato / información que debe llevar el excel con los resultados  de los controles lecheros .fld/"/>
    </mc:Choice>
  </mc:AlternateContent>
  <xr:revisionPtr revIDLastSave="0" documentId="13_ncr:1_{B8A53DFE-7CEF-684C-9099-87DFE4ED3972}" xr6:coauthVersionLast="45" xr6:coauthVersionMax="45" xr10:uidLastSave="{00000000-0000-0000-0000-000000000000}"/>
  <bookViews>
    <workbookView xWindow="0" yWindow="460" windowWidth="28080" windowHeight="17540" xr2:uid="{00000000-000D-0000-FFFF-FFFF00000000}"/>
  </bookViews>
  <sheets>
    <sheet name="CMT" sheetId="1" r:id="rId1"/>
    <sheet name="RCS Tanque" sheetId="2" r:id="rId2"/>
    <sheet name="Datos" sheetId="3" state="hidden" r:id="rId3"/>
  </sheets>
  <definedNames>
    <definedName name="Alpina">Datos!$M$2:$N$4</definedName>
    <definedName name="empresa_rcs">Datos!$G$2:$H$10</definedName>
    <definedName name="empresas">Datos!$G$2:$G$10</definedName>
    <definedName name="opcion">Datos!$F$1:$F$2</definedName>
    <definedName name="otro">Datos!$O$2:$P$4</definedName>
    <definedName name="productor_colanta">Datos!$K$2:$L$4</definedName>
    <definedName name="Socio_Colanta">Datos!$I$2:$J$4</definedName>
    <definedName name="ufc">Datos!$A$2:$B$12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2" l="1"/>
  <c r="C10" i="2"/>
  <c r="C11" i="2"/>
  <c r="C9" i="2"/>
  <c r="B5" i="3"/>
  <c r="B4" i="3"/>
  <c r="B3" i="3"/>
  <c r="B2" i="3"/>
  <c r="C5" i="2"/>
  <c r="B18" i="2" s="1"/>
  <c r="C18" i="2" s="1"/>
  <c r="C7" i="2"/>
  <c r="B26" i="2" l="1"/>
  <c r="C26" i="2" s="1"/>
  <c r="B22" i="2"/>
  <c r="C22" i="2" s="1"/>
  <c r="B21" i="2"/>
  <c r="C21" i="2" s="1"/>
  <c r="B20" i="2"/>
  <c r="C20" i="2" s="1"/>
  <c r="B19" i="2"/>
  <c r="C19" i="2" s="1"/>
  <c r="B13" i="1"/>
  <c r="B1" i="1"/>
  <c r="B2" i="1" s="1"/>
  <c r="B4" i="1" s="1"/>
  <c r="C11" i="1" l="1"/>
  <c r="C9" i="1"/>
  <c r="C8" i="1"/>
  <c r="C10" i="1"/>
  <c r="C12" i="1"/>
  <c r="E26" i="2"/>
  <c r="C28" i="2"/>
  <c r="D26" i="2"/>
  <c r="B23" i="2"/>
  <c r="E18" i="2"/>
  <c r="E12" i="1"/>
  <c r="E10" i="1"/>
  <c r="F10" i="1" s="1"/>
  <c r="E11" i="1"/>
  <c r="F11" i="1" s="1"/>
  <c r="E9" i="1"/>
  <c r="F9" i="1" s="1"/>
  <c r="E20" i="2"/>
  <c r="D20" i="2"/>
  <c r="D21" i="2"/>
  <c r="E21" i="2"/>
  <c r="D22" i="2"/>
  <c r="E22" i="2"/>
  <c r="E8" i="1"/>
  <c r="F12" i="1"/>
  <c r="E19" i="2"/>
  <c r="D19" i="2"/>
  <c r="C13" i="1" l="1"/>
  <c r="D18" i="2"/>
  <c r="F8" i="1"/>
  <c r="E13" i="1"/>
  <c r="F13" i="1" s="1"/>
  <c r="F14" i="1" s="1"/>
  <c r="E28" i="2"/>
  <c r="D28" i="2"/>
</calcChain>
</file>

<file path=xl/sharedStrings.xml><?xml version="1.0" encoding="utf-8"?>
<sst xmlns="http://schemas.openxmlformats.org/spreadsheetml/2006/main" count="70" uniqueCount="58">
  <si>
    <t>+</t>
  </si>
  <si>
    <t>++</t>
  </si>
  <si>
    <t>+++</t>
  </si>
  <si>
    <t>Perdido</t>
  </si>
  <si>
    <t>N</t>
  </si>
  <si>
    <t>Número Cuartos</t>
  </si>
  <si>
    <t>Producción litros total día</t>
  </si>
  <si>
    <t>Pérdida en litros</t>
  </si>
  <si>
    <t>Pérdida en pesos</t>
  </si>
  <si>
    <t>Precio de venta litro</t>
  </si>
  <si>
    <t>Total</t>
  </si>
  <si>
    <t>No de vacas en producción</t>
  </si>
  <si>
    <t>UFC tanque</t>
  </si>
  <si>
    <t>Bonificación  no percibida por UFC litro</t>
  </si>
  <si>
    <t>RCS</t>
  </si>
  <si>
    <t>% Pérdida por alto RCS**</t>
  </si>
  <si>
    <t>Pago litro</t>
  </si>
  <si>
    <t>*incluye terneras, descarte y consumo en la finca.</t>
  </si>
  <si>
    <t>Bonificaciones que no percibe por calidad láctea y BPG</t>
  </si>
  <si>
    <t>Litro</t>
  </si>
  <si>
    <t>$/finca/día</t>
  </si>
  <si>
    <t>$/finca/mes</t>
  </si>
  <si>
    <t>$pesos/finca/año</t>
  </si>
  <si>
    <t>UFC</t>
  </si>
  <si>
    <t>Brucella</t>
  </si>
  <si>
    <t>Tuberculosis</t>
  </si>
  <si>
    <t>BPG</t>
  </si>
  <si>
    <t>Subtotal</t>
  </si>
  <si>
    <t>Pérdidas asociadas a leche no producida x mastitis</t>
  </si>
  <si>
    <t>Pérdida</t>
  </si>
  <si>
    <t>$/finca/año</t>
  </si>
  <si>
    <t>RCS*</t>
  </si>
  <si>
    <t>Pérdida total</t>
  </si>
  <si>
    <t>Promedio litros vaca/día</t>
  </si>
  <si>
    <t>%</t>
  </si>
  <si>
    <t>Perdidas mes por menor producción:</t>
  </si>
  <si>
    <t>** 2,0% por cada 100.000 RCS sobre 200.000RSC</t>
  </si>
  <si>
    <t>*2,0%, por cada 100.000 RCS por encima de 200.000 RCS</t>
  </si>
  <si>
    <t>SI</t>
  </si>
  <si>
    <t>NO</t>
  </si>
  <si>
    <t>Socio Colanta</t>
  </si>
  <si>
    <t>Productor Colanta</t>
  </si>
  <si>
    <t>Alpina</t>
  </si>
  <si>
    <t>Otro</t>
  </si>
  <si>
    <t>Socio_Colanta</t>
  </si>
  <si>
    <t>Productor_Colanta</t>
  </si>
  <si>
    <t>Empresa RCS</t>
  </si>
  <si>
    <t>Empresas captadora de leche</t>
  </si>
  <si>
    <t>Producción total de leche día*</t>
  </si>
  <si>
    <t>Certificación Brucela</t>
  </si>
  <si>
    <t>Certificación Tuberculosis</t>
  </si>
  <si>
    <t>Certificación BPG</t>
  </si>
  <si>
    <t>Elaboro: Victor Guzman</t>
  </si>
  <si>
    <t>viftorg@gmail.com</t>
  </si>
  <si>
    <t xml:space="preserve"># cuartos </t>
  </si>
  <si>
    <t>Número de vacas</t>
  </si>
  <si>
    <t>Pérdida por cuarto</t>
  </si>
  <si>
    <t>Bonificación no percibida por RCS x 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</si>
</sst>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[$$-240A]\ #,##0"/>
    <numFmt numFmtId="166" formatCode="0.0"/>
    <numFmt numFmtId="167" formatCode="_-* #,##0\ _€_-;\-* #,##0\ _€_-;_-* &quot;-&quot;??\ _€_-;_-@_-"/>
    <numFmt numFmtId="168" formatCode="_(* #,##0_);_(* \(#,##0\);_(* &quot;-&quot;??_);_(@_)"/>
    <numFmt numFmtId="169" formatCode="_(&quot;$&quot;\ * #,##0_);_(&quot;$&quot;\ * \(#,##0\);_(&quot;$&quot;\ * &quot;-&quot;??_);_(@_)"/>
    <numFmt numFmtId="170" formatCode="_(&quot;$&quot;\ * #,##0.00_);_(&quot;$&quot;\ * \(#,##0.00\);_(&quot;$&quot;\ * &quot;-&quot;??_);_(@_)"/>
    <numFmt numFmtId="171" formatCode="_(* #,##0.00_);_(* \(#,##0.00\);_(* &quot;-&quot;??_);_(@_)"/>
    <numFmt numFmtId="172" formatCode="0.0%"/>
    <numFmt numFmtId="173" formatCode="&quot;$&quot;#,##0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u/>
      <sz val="16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165" fontId="0" fillId="0" borderId="0" xfId="0" applyNumberFormat="1"/>
    <xf numFmtId="0" fontId="0" fillId="0" borderId="0" xfId="0"/>
    <xf numFmtId="0" fontId="0" fillId="2" borderId="0" xfId="0" applyFill="1"/>
    <xf numFmtId="0" fontId="2" fillId="2" borderId="5" xfId="0" applyFont="1" applyFill="1" applyBorder="1" applyAlignment="1">
      <alignment horizontal="left"/>
    </xf>
    <xf numFmtId="0" fontId="0" fillId="0" borderId="0" xfId="0" applyAlignment="1">
      <alignment wrapText="1"/>
    </xf>
    <xf numFmtId="0" fontId="5" fillId="0" borderId="0" xfId="0" applyFont="1"/>
    <xf numFmtId="0" fontId="5" fillId="0" borderId="1" xfId="0" applyFont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wrapText="1"/>
    </xf>
    <xf numFmtId="0" fontId="4" fillId="3" borderId="17" xfId="0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 wrapText="1"/>
    </xf>
    <xf numFmtId="0" fontId="3" fillId="0" borderId="13" xfId="0" applyFont="1" applyBorder="1"/>
    <xf numFmtId="49" fontId="3" fillId="0" borderId="13" xfId="0" applyNumberFormat="1" applyFont="1" applyBorder="1"/>
    <xf numFmtId="0" fontId="5" fillId="0" borderId="6" xfId="0" applyFont="1" applyBorder="1"/>
    <xf numFmtId="0" fontId="0" fillId="0" borderId="1" xfId="0" applyBorder="1"/>
    <xf numFmtId="0" fontId="9" fillId="3" borderId="1" xfId="0" applyFont="1" applyFill="1" applyBorder="1" applyAlignment="1">
      <alignment vertical="center"/>
    </xf>
    <xf numFmtId="168" fontId="5" fillId="0" borderId="1" xfId="3" applyNumberFormat="1" applyFont="1" applyBorder="1" applyAlignment="1" applyProtection="1">
      <alignment horizontal="right" vertical="center"/>
      <protection locked="0"/>
    </xf>
    <xf numFmtId="169" fontId="5" fillId="5" borderId="1" xfId="4" applyNumberFormat="1" applyFont="1" applyFill="1" applyBorder="1" applyAlignment="1" applyProtection="1">
      <alignment horizontal="right" vertical="center"/>
      <protection locked="0"/>
    </xf>
    <xf numFmtId="172" fontId="5" fillId="5" borderId="1" xfId="2" applyNumberFormat="1" applyFont="1" applyFill="1" applyBorder="1" applyAlignment="1" applyProtection="1">
      <alignment horizontal="right" vertical="center"/>
      <protection locked="0"/>
    </xf>
    <xf numFmtId="0" fontId="9" fillId="3" borderId="1" xfId="0" applyFont="1" applyFill="1" applyBorder="1" applyAlignment="1">
      <alignment horizontal="left" vertical="center"/>
    </xf>
    <xf numFmtId="169" fontId="5" fillId="5" borderId="1" xfId="4" applyNumberFormat="1" applyFont="1" applyFill="1" applyBorder="1" applyAlignment="1" applyProtection="1">
      <alignment horizontal="center" vertical="center"/>
      <protection locked="0"/>
    </xf>
    <xf numFmtId="169" fontId="5" fillId="0" borderId="1" xfId="4" applyNumberFormat="1" applyFont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horizontal="left"/>
    </xf>
    <xf numFmtId="0" fontId="7" fillId="0" borderId="5" xfId="0" applyFont="1" applyFill="1" applyBorder="1"/>
    <xf numFmtId="169" fontId="5" fillId="5" borderId="3" xfId="0" applyNumberFormat="1" applyFont="1" applyFill="1" applyBorder="1" applyAlignment="1">
      <alignment horizontal="center" vertical="center"/>
    </xf>
    <xf numFmtId="169" fontId="5" fillId="5" borderId="3" xfId="4" applyNumberFormat="1" applyFont="1" applyFill="1" applyBorder="1" applyAlignment="1">
      <alignment horizontal="center" vertical="center"/>
    </xf>
    <xf numFmtId="169" fontId="3" fillId="5" borderId="4" xfId="4" applyNumberFormat="1" applyFont="1" applyFill="1" applyBorder="1" applyAlignment="1">
      <alignment horizontal="center" vertical="center"/>
    </xf>
    <xf numFmtId="172" fontId="3" fillId="5" borderId="4" xfId="2" applyNumberFormat="1" applyFont="1" applyFill="1" applyBorder="1"/>
    <xf numFmtId="167" fontId="3" fillId="5" borderId="4" xfId="1" applyNumberFormat="1" applyFont="1" applyFill="1" applyBorder="1"/>
    <xf numFmtId="169" fontId="3" fillId="5" borderId="4" xfId="0" applyNumberFormat="1" applyFont="1" applyFill="1" applyBorder="1"/>
    <xf numFmtId="0" fontId="8" fillId="5" borderId="10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0" fontId="5" fillId="0" borderId="23" xfId="0" applyFont="1" applyBorder="1"/>
    <xf numFmtId="0" fontId="5" fillId="0" borderId="1" xfId="0" applyFont="1" applyBorder="1"/>
    <xf numFmtId="0" fontId="4" fillId="3" borderId="7" xfId="0" applyFont="1" applyFill="1" applyBorder="1"/>
    <xf numFmtId="0" fontId="4" fillId="3" borderId="8" xfId="0" applyFont="1" applyFill="1" applyBorder="1"/>
    <xf numFmtId="169" fontId="4" fillId="3" borderId="8" xfId="0" applyNumberFormat="1" applyFont="1" applyFill="1" applyBorder="1" applyAlignment="1">
      <alignment horizontal="center" vertical="center"/>
    </xf>
    <xf numFmtId="169" fontId="4" fillId="3" borderId="9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7" fillId="5" borderId="6" xfId="0" applyFont="1" applyFill="1" applyBorder="1"/>
    <xf numFmtId="9" fontId="5" fillId="5" borderId="1" xfId="2" applyFont="1" applyFill="1" applyBorder="1" applyAlignment="1">
      <alignment horizontal="center" vertical="center"/>
    </xf>
    <xf numFmtId="9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165" fontId="5" fillId="5" borderId="14" xfId="0" applyNumberFormat="1" applyFont="1" applyFill="1" applyBorder="1"/>
    <xf numFmtId="10" fontId="5" fillId="5" borderId="1" xfId="0" applyNumberFormat="1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/>
    </xf>
    <xf numFmtId="165" fontId="6" fillId="5" borderId="16" xfId="0" applyNumberFormat="1" applyFont="1" applyFill="1" applyBorder="1"/>
    <xf numFmtId="49" fontId="3" fillId="5" borderId="0" xfId="0" applyNumberFormat="1" applyFont="1" applyFill="1" applyBorder="1" applyAlignment="1"/>
    <xf numFmtId="49" fontId="3" fillId="5" borderId="0" xfId="0" applyNumberFormat="1" applyFont="1" applyFill="1" applyBorder="1" applyAlignment="1">
      <alignment horizontal="left"/>
    </xf>
    <xf numFmtId="49" fontId="12" fillId="5" borderId="0" xfId="5" applyNumberFormat="1" applyFont="1" applyFill="1" applyBorder="1" applyAlignment="1">
      <alignment horizontal="left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4" borderId="17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173" fontId="3" fillId="2" borderId="18" xfId="0" applyNumberFormat="1" applyFont="1" applyFill="1" applyBorder="1" applyAlignment="1" applyProtection="1">
      <alignment horizontal="center" vertical="center"/>
      <protection locked="0"/>
    </xf>
    <xf numFmtId="173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6">
    <cellStyle name="Hipervínculo" xfId="5" builtinId="8"/>
    <cellStyle name="Millares" xfId="1" builtinId="3"/>
    <cellStyle name="Millares 2" xfId="3" xr:uid="{00000000-0005-0000-0000-000002000000}"/>
    <cellStyle name="Moneda 2" xfId="4" xr:uid="{00000000-0005-0000-0000-000003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ftorg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iftorg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showGridLines="0" tabSelected="1" topLeftCell="A2" workbookViewId="0">
      <selection activeCell="D7" sqref="D7"/>
    </sheetView>
  </sheetViews>
  <sheetFormatPr baseColWidth="10" defaultRowHeight="14" x14ac:dyDescent="0.15"/>
  <cols>
    <col min="1" max="1" width="27.6640625" customWidth="1"/>
    <col min="2" max="2" width="11.5" customWidth="1"/>
    <col min="3" max="3" width="11.5" style="2" customWidth="1"/>
    <col min="4" max="4" width="18" customWidth="1"/>
    <col min="5" max="5" width="14" bestFit="1" customWidth="1"/>
    <col min="6" max="6" width="17.6640625" customWidth="1"/>
  </cols>
  <sheetData>
    <row r="1" spans="1:6" ht="42" customHeight="1" x14ac:dyDescent="0.15">
      <c r="A1" s="8" t="s">
        <v>5</v>
      </c>
      <c r="B1" s="58">
        <f>SUM(B8:B12)</f>
        <v>200</v>
      </c>
      <c r="C1" s="59"/>
    </row>
    <row r="2" spans="1:6" ht="42" customHeight="1" x14ac:dyDescent="0.15">
      <c r="A2" s="9" t="s">
        <v>55</v>
      </c>
      <c r="B2" s="60">
        <f>B1/4</f>
        <v>50</v>
      </c>
      <c r="C2" s="61"/>
    </row>
    <row r="3" spans="1:6" ht="42" customHeight="1" x14ac:dyDescent="0.15">
      <c r="A3" s="9" t="s">
        <v>6</v>
      </c>
      <c r="B3" s="62">
        <v>1000</v>
      </c>
      <c r="C3" s="63"/>
    </row>
    <row r="4" spans="1:6" ht="42" customHeight="1" x14ac:dyDescent="0.15">
      <c r="A4" s="9" t="s">
        <v>33</v>
      </c>
      <c r="B4" s="64">
        <f>B3/B2</f>
        <v>20</v>
      </c>
      <c r="C4" s="65"/>
    </row>
    <row r="5" spans="1:6" ht="42" customHeight="1" thickBot="1" x14ac:dyDescent="0.2">
      <c r="A5" s="10" t="s">
        <v>9</v>
      </c>
      <c r="B5" s="66">
        <v>1100</v>
      </c>
      <c r="C5" s="67"/>
    </row>
    <row r="6" spans="1:6" ht="15" thickBot="1" x14ac:dyDescent="0.2">
      <c r="B6" s="1"/>
      <c r="C6" s="1"/>
    </row>
    <row r="7" spans="1:6" s="5" customFormat="1" ht="42" x14ac:dyDescent="0.2">
      <c r="A7" s="11"/>
      <c r="B7" s="12" t="s">
        <v>54</v>
      </c>
      <c r="C7" s="12" t="s">
        <v>34</v>
      </c>
      <c r="D7" s="12" t="s">
        <v>56</v>
      </c>
      <c r="E7" s="12" t="s">
        <v>7</v>
      </c>
      <c r="F7" s="13" t="s">
        <v>8</v>
      </c>
    </row>
    <row r="8" spans="1:6" s="6" customFormat="1" ht="26.25" customHeight="1" x14ac:dyDescent="0.2">
      <c r="A8" s="14" t="s">
        <v>4</v>
      </c>
      <c r="B8" s="7">
        <v>150</v>
      </c>
      <c r="C8" s="44">
        <f>B8/$B$13</f>
        <v>0.75</v>
      </c>
      <c r="D8" s="45">
        <v>0</v>
      </c>
      <c r="E8" s="46">
        <f>(150*($B$4/4))*D8</f>
        <v>0</v>
      </c>
      <c r="F8" s="47">
        <f>E8*$B$5</f>
        <v>0</v>
      </c>
    </row>
    <row r="9" spans="1:6" s="6" customFormat="1" ht="26.25" customHeight="1" x14ac:dyDescent="0.2">
      <c r="A9" s="15" t="s">
        <v>0</v>
      </c>
      <c r="B9" s="7">
        <v>20</v>
      </c>
      <c r="C9" s="44">
        <f t="shared" ref="C9:C12" si="0">B9/$B$13</f>
        <v>0.1</v>
      </c>
      <c r="D9" s="48">
        <v>0.19500000000000001</v>
      </c>
      <c r="E9" s="49">
        <f>(($B$4/4)/(1-D9)-($B$4/4))*B9</f>
        <v>24.223602484472053</v>
      </c>
      <c r="F9" s="47">
        <f>E9*$B$5</f>
        <v>26645.962732919259</v>
      </c>
    </row>
    <row r="10" spans="1:6" s="6" customFormat="1" ht="26.25" customHeight="1" x14ac:dyDescent="0.2">
      <c r="A10" s="15" t="s">
        <v>1</v>
      </c>
      <c r="B10" s="7">
        <v>15</v>
      </c>
      <c r="C10" s="44">
        <f t="shared" si="0"/>
        <v>7.4999999999999997E-2</v>
      </c>
      <c r="D10" s="48">
        <v>0.318</v>
      </c>
      <c r="E10" s="49">
        <f t="shared" ref="E10:E11" si="1">(($B$4/4)/(1-D10)-($B$4/4))*B10</f>
        <v>34.970674486803532</v>
      </c>
      <c r="F10" s="47">
        <f>E10*$B$5</f>
        <v>38467.741935483886</v>
      </c>
    </row>
    <row r="11" spans="1:6" s="6" customFormat="1" ht="26.25" customHeight="1" x14ac:dyDescent="0.2">
      <c r="A11" s="15" t="s">
        <v>2</v>
      </c>
      <c r="B11" s="7">
        <v>13</v>
      </c>
      <c r="C11" s="44">
        <f t="shared" si="0"/>
        <v>6.5000000000000002E-2</v>
      </c>
      <c r="D11" s="48">
        <v>0.46600000000000003</v>
      </c>
      <c r="E11" s="49">
        <f t="shared" si="1"/>
        <v>56.722846441947553</v>
      </c>
      <c r="F11" s="47">
        <f t="shared" ref="F11:F13" si="2">E11*$B$5</f>
        <v>62395.131086142312</v>
      </c>
    </row>
    <row r="12" spans="1:6" s="6" customFormat="1" ht="26.25" customHeight="1" x14ac:dyDescent="0.2">
      <c r="A12" s="15" t="s">
        <v>3</v>
      </c>
      <c r="B12" s="7">
        <v>2</v>
      </c>
      <c r="C12" s="44">
        <f t="shared" si="0"/>
        <v>0.01</v>
      </c>
      <c r="D12" s="45">
        <v>1</v>
      </c>
      <c r="E12" s="49">
        <f>B4/4*B12</f>
        <v>10</v>
      </c>
      <c r="F12" s="47">
        <f t="shared" si="2"/>
        <v>11000</v>
      </c>
    </row>
    <row r="13" spans="1:6" s="6" customFormat="1" ht="26.25" customHeight="1" x14ac:dyDescent="0.2">
      <c r="A13" s="15" t="s">
        <v>10</v>
      </c>
      <c r="B13" s="50">
        <f>SUM(B8:B12)</f>
        <v>200</v>
      </c>
      <c r="C13" s="45">
        <f>SUM(C8:C12)</f>
        <v>1</v>
      </c>
      <c r="D13" s="50"/>
      <c r="E13" s="51">
        <f>SUM(E8:E12)</f>
        <v>125.91712341322314</v>
      </c>
      <c r="F13" s="47">
        <f t="shared" si="2"/>
        <v>138508.83575454546</v>
      </c>
    </row>
    <row r="14" spans="1:6" s="6" customFormat="1" ht="24" thickBot="1" x14ac:dyDescent="0.3">
      <c r="A14" s="16"/>
      <c r="B14" s="56" t="s">
        <v>35</v>
      </c>
      <c r="C14" s="56"/>
      <c r="D14" s="56"/>
      <c r="E14" s="57"/>
      <c r="F14" s="52">
        <f>+F13*30</f>
        <v>4155265.072636364</v>
      </c>
    </row>
    <row r="16" spans="1:6" ht="20" x14ac:dyDescent="0.2">
      <c r="A16" s="54" t="s">
        <v>52</v>
      </c>
      <c r="B16" s="54"/>
      <c r="C16" s="55" t="s">
        <v>53</v>
      </c>
      <c r="D16" s="55"/>
    </row>
  </sheetData>
  <sheetProtection algorithmName="SHA-512" hashValue="Xa7bLuxu2FrKck/U3dUWgEVPJU1zTG0eDl9tI5Dcr1o8QKD5HzXxRFNM/BEwXrXw2x4kKUd58RGKx46P6iRknw==" saltValue="G3c1zqtJYSxN4xuyh8JVlg==" spinCount="100000" sheet="1" objects="1" scenarios="1"/>
  <mergeCells count="8">
    <mergeCell ref="A16:B16"/>
    <mergeCell ref="C16:D16"/>
    <mergeCell ref="B14:E14"/>
    <mergeCell ref="B1:C1"/>
    <mergeCell ref="B2:C2"/>
    <mergeCell ref="B3:C3"/>
    <mergeCell ref="B4:C4"/>
    <mergeCell ref="B5:C5"/>
  </mergeCells>
  <hyperlinks>
    <hyperlink ref="C16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showGridLines="0" zoomScale="90" zoomScaleNormal="90" workbookViewId="0">
      <selection activeCell="A7" sqref="A7:B7"/>
    </sheetView>
  </sheetViews>
  <sheetFormatPr baseColWidth="10" defaultRowHeight="14" x14ac:dyDescent="0.15"/>
  <cols>
    <col min="1" max="1" width="49.1640625" customWidth="1"/>
    <col min="2" max="2" width="12.5" customWidth="1"/>
    <col min="3" max="3" width="15" bestFit="1" customWidth="1"/>
    <col min="4" max="4" width="17.33203125" bestFit="1" customWidth="1"/>
    <col min="5" max="5" width="22" bestFit="1" customWidth="1"/>
  </cols>
  <sheetData>
    <row r="1" spans="1:5" s="2" customFormat="1" ht="23.25" customHeight="1" x14ac:dyDescent="0.15">
      <c r="A1" s="18" t="s">
        <v>47</v>
      </c>
      <c r="B1" s="64" t="s">
        <v>45</v>
      </c>
      <c r="C1" s="64"/>
    </row>
    <row r="2" spans="1:5" ht="23.25" customHeight="1" x14ac:dyDescent="0.15">
      <c r="A2" s="68" t="s">
        <v>11</v>
      </c>
      <c r="B2" s="68"/>
      <c r="C2" s="19">
        <v>100</v>
      </c>
      <c r="D2" s="3"/>
      <c r="E2" s="3"/>
    </row>
    <row r="3" spans="1:5" ht="23.25" customHeight="1" x14ac:dyDescent="0.15">
      <c r="A3" s="68" t="s">
        <v>48</v>
      </c>
      <c r="B3" s="68"/>
      <c r="C3" s="19">
        <v>2000</v>
      </c>
      <c r="D3" s="3"/>
      <c r="E3" s="3"/>
    </row>
    <row r="4" spans="1:5" ht="23.25" customHeight="1" x14ac:dyDescent="0.15">
      <c r="A4" s="68" t="s">
        <v>12</v>
      </c>
      <c r="B4" s="68"/>
      <c r="C4" s="19">
        <v>60000</v>
      </c>
      <c r="D4" s="3"/>
      <c r="E4" s="3"/>
    </row>
    <row r="5" spans="1:5" ht="23.25" customHeight="1" x14ac:dyDescent="0.15">
      <c r="A5" s="68" t="s">
        <v>13</v>
      </c>
      <c r="B5" s="68"/>
      <c r="C5" s="20">
        <f>101-VLOOKUP(C4,ufc,2,TRUE)</f>
        <v>28</v>
      </c>
      <c r="D5" s="3"/>
      <c r="E5" s="3"/>
    </row>
    <row r="6" spans="1:5" ht="23.25" customHeight="1" x14ac:dyDescent="0.15">
      <c r="A6" s="68" t="s">
        <v>14</v>
      </c>
      <c r="B6" s="68"/>
      <c r="C6" s="19">
        <v>360000</v>
      </c>
      <c r="D6" s="3"/>
      <c r="E6" s="3"/>
    </row>
    <row r="7" spans="1:5" ht="23.25" customHeight="1" x14ac:dyDescent="0.15">
      <c r="A7" s="68" t="s">
        <v>57</v>
      </c>
      <c r="B7" s="68"/>
      <c r="C7" s="20">
        <f ca="1">IFERROR(VLOOKUP(B1,empresa_rcs,2,FALSE)-VLOOKUP(C6,INDIRECT(B1),2,TRUE),0)</f>
        <v>15</v>
      </c>
      <c r="D7" s="3"/>
      <c r="E7" s="3"/>
    </row>
    <row r="8" spans="1:5" ht="23.25" customHeight="1" x14ac:dyDescent="0.15">
      <c r="A8" s="68" t="s">
        <v>15</v>
      </c>
      <c r="B8" s="68"/>
      <c r="C8" s="21">
        <f>IF(C6&lt;=200000,0,((C6-200000)/100000)*0.02)</f>
        <v>3.2000000000000001E-2</v>
      </c>
      <c r="D8" s="3"/>
      <c r="E8" s="3"/>
    </row>
    <row r="9" spans="1:5" ht="23.25" customHeight="1" x14ac:dyDescent="0.15">
      <c r="A9" s="22" t="s">
        <v>49</v>
      </c>
      <c r="B9" s="7" t="s">
        <v>39</v>
      </c>
      <c r="C9" s="23">
        <f>IF(B9="SI",0,10)</f>
        <v>10</v>
      </c>
      <c r="D9" s="3"/>
      <c r="E9" s="3"/>
    </row>
    <row r="10" spans="1:5" ht="23.25" customHeight="1" x14ac:dyDescent="0.15">
      <c r="A10" s="22" t="s">
        <v>50</v>
      </c>
      <c r="B10" s="7" t="s">
        <v>39</v>
      </c>
      <c r="C10" s="23">
        <f t="shared" ref="C10:C11" si="0">IF(B10="SI",0,10)</f>
        <v>10</v>
      </c>
      <c r="D10" s="3"/>
      <c r="E10" s="3"/>
    </row>
    <row r="11" spans="1:5" ht="23.25" customHeight="1" x14ac:dyDescent="0.15">
      <c r="A11" s="22" t="s">
        <v>51</v>
      </c>
      <c r="B11" s="7" t="s">
        <v>39</v>
      </c>
      <c r="C11" s="23">
        <f t="shared" si="0"/>
        <v>10</v>
      </c>
      <c r="D11" s="3"/>
      <c r="E11" s="3"/>
    </row>
    <row r="12" spans="1:5" ht="23.25" customHeight="1" x14ac:dyDescent="0.15">
      <c r="A12" s="68" t="s">
        <v>16</v>
      </c>
      <c r="B12" s="68"/>
      <c r="C12" s="24">
        <v>1082</v>
      </c>
      <c r="D12" s="3"/>
      <c r="E12" s="3"/>
    </row>
    <row r="13" spans="1:5" x14ac:dyDescent="0.15">
      <c r="A13" s="25" t="s">
        <v>17</v>
      </c>
      <c r="B13" s="3"/>
      <c r="C13" s="3"/>
      <c r="D13" s="3"/>
      <c r="E13" s="3"/>
    </row>
    <row r="14" spans="1:5" x14ac:dyDescent="0.15">
      <c r="A14" s="25" t="s">
        <v>36</v>
      </c>
      <c r="B14" s="3"/>
      <c r="C14" s="3"/>
      <c r="D14" s="3"/>
      <c r="E14" s="3"/>
    </row>
    <row r="15" spans="1:5" ht="15" thickBot="1" x14ac:dyDescent="0.2">
      <c r="A15" s="4"/>
      <c r="B15" s="3"/>
      <c r="C15" s="3"/>
      <c r="D15" s="3"/>
      <c r="E15" s="3"/>
    </row>
    <row r="16" spans="1:5" ht="29.25" customHeight="1" thickBot="1" x14ac:dyDescent="0.2">
      <c r="A16" s="69" t="s">
        <v>18</v>
      </c>
      <c r="B16" s="70"/>
      <c r="C16" s="70"/>
      <c r="D16" s="70"/>
      <c r="E16" s="71"/>
    </row>
    <row r="17" spans="1:5" ht="18" x14ac:dyDescent="0.2">
      <c r="A17" s="33"/>
      <c r="B17" s="42" t="s">
        <v>19</v>
      </c>
      <c r="C17" s="42" t="s">
        <v>20</v>
      </c>
      <c r="D17" s="42" t="s">
        <v>21</v>
      </c>
      <c r="E17" s="42" t="s">
        <v>22</v>
      </c>
    </row>
    <row r="18" spans="1:5" ht="20.25" customHeight="1" x14ac:dyDescent="0.2">
      <c r="A18" s="34" t="s">
        <v>23</v>
      </c>
      <c r="B18" s="27">
        <f>C5</f>
        <v>28</v>
      </c>
      <c r="C18" s="28">
        <f>B18*C3</f>
        <v>56000</v>
      </c>
      <c r="D18" s="28">
        <f>C18*30</f>
        <v>1680000</v>
      </c>
      <c r="E18" s="28">
        <f>C18*365</f>
        <v>20440000</v>
      </c>
    </row>
    <row r="19" spans="1:5" ht="20.25" customHeight="1" x14ac:dyDescent="0.2">
      <c r="A19" s="34" t="s">
        <v>14</v>
      </c>
      <c r="B19" s="28">
        <f ca="1">C7</f>
        <v>15</v>
      </c>
      <c r="C19" s="28">
        <f ca="1">B19*C3</f>
        <v>30000</v>
      </c>
      <c r="D19" s="28">
        <f ca="1">C19*30</f>
        <v>900000</v>
      </c>
      <c r="E19" s="28">
        <f ca="1">C19*365</f>
        <v>10950000</v>
      </c>
    </row>
    <row r="20" spans="1:5" ht="20.25" customHeight="1" x14ac:dyDescent="0.2">
      <c r="A20" s="34" t="s">
        <v>24</v>
      </c>
      <c r="B20" s="28">
        <f>C9</f>
        <v>10</v>
      </c>
      <c r="C20" s="28">
        <f>B20*C3</f>
        <v>20000</v>
      </c>
      <c r="D20" s="28">
        <f>C20*30</f>
        <v>600000</v>
      </c>
      <c r="E20" s="28">
        <f>C20*365</f>
        <v>7300000</v>
      </c>
    </row>
    <row r="21" spans="1:5" ht="20.25" customHeight="1" x14ac:dyDescent="0.2">
      <c r="A21" s="34" t="s">
        <v>25</v>
      </c>
      <c r="B21" s="28">
        <f>C10</f>
        <v>10</v>
      </c>
      <c r="C21" s="28">
        <f>B21*C3</f>
        <v>20000</v>
      </c>
      <c r="D21" s="28">
        <f>C21*30</f>
        <v>600000</v>
      </c>
      <c r="E21" s="28">
        <f>C21*365</f>
        <v>7300000</v>
      </c>
    </row>
    <row r="22" spans="1:5" ht="20.25" customHeight="1" x14ac:dyDescent="0.2">
      <c r="A22" s="34" t="s">
        <v>26</v>
      </c>
      <c r="B22" s="28">
        <f>C11</f>
        <v>10</v>
      </c>
      <c r="C22" s="28">
        <f>B22*C3</f>
        <v>20000</v>
      </c>
      <c r="D22" s="28">
        <f>C22*30</f>
        <v>600000</v>
      </c>
      <c r="E22" s="28">
        <f>C22*365</f>
        <v>7300000</v>
      </c>
    </row>
    <row r="23" spans="1:5" ht="20.25" customHeight="1" thickBot="1" x14ac:dyDescent="0.25">
      <c r="A23" s="35" t="s">
        <v>27</v>
      </c>
      <c r="B23" s="29">
        <f ca="1">SUM(B18:B22)</f>
        <v>73</v>
      </c>
      <c r="C23" s="29">
        <v>146000</v>
      </c>
      <c r="D23" s="29">
        <v>4380000</v>
      </c>
      <c r="E23" s="29">
        <v>53290000</v>
      </c>
    </row>
    <row r="24" spans="1:5" ht="23.25" customHeight="1" thickBot="1" x14ac:dyDescent="0.2">
      <c r="A24" s="69" t="s">
        <v>28</v>
      </c>
      <c r="B24" s="70"/>
      <c r="C24" s="70"/>
      <c r="D24" s="70"/>
      <c r="E24" s="71"/>
    </row>
    <row r="25" spans="1:5" ht="21" customHeight="1" x14ac:dyDescent="0.2">
      <c r="A25" s="33"/>
      <c r="B25" s="42" t="s">
        <v>29</v>
      </c>
      <c r="C25" s="42" t="s">
        <v>20</v>
      </c>
      <c r="D25" s="42" t="s">
        <v>21</v>
      </c>
      <c r="E25" s="42" t="s">
        <v>30</v>
      </c>
    </row>
    <row r="26" spans="1:5" ht="21" customHeight="1" thickBot="1" x14ac:dyDescent="0.25">
      <c r="A26" s="43" t="s">
        <v>31</v>
      </c>
      <c r="B26" s="30">
        <f>C8</f>
        <v>3.2000000000000001E-2</v>
      </c>
      <c r="C26" s="31">
        <f>(C3/(1-B26)-C3)*C12</f>
        <v>71537.190082644564</v>
      </c>
      <c r="D26" s="32">
        <f>C26*30</f>
        <v>2146115.7024793369</v>
      </c>
      <c r="E26" s="32">
        <f>C26*365</f>
        <v>26111074.380165264</v>
      </c>
    </row>
    <row r="27" spans="1:5" ht="19" thickBot="1" x14ac:dyDescent="0.25">
      <c r="A27" s="26" t="s">
        <v>37</v>
      </c>
      <c r="B27" s="6"/>
      <c r="C27" s="6"/>
      <c r="D27" s="6"/>
      <c r="E27" s="6"/>
    </row>
    <row r="28" spans="1:5" ht="21.75" customHeight="1" thickBot="1" x14ac:dyDescent="0.25">
      <c r="A28" s="38" t="s">
        <v>32</v>
      </c>
      <c r="B28" s="39"/>
      <c r="C28" s="40">
        <f>SUM(C23,C26)</f>
        <v>217537.19008264458</v>
      </c>
      <c r="D28" s="40">
        <f>C28*30</f>
        <v>6526115.7024793373</v>
      </c>
      <c r="E28" s="41">
        <f>C28*365</f>
        <v>79401074.380165264</v>
      </c>
    </row>
    <row r="31" spans="1:5" ht="20" x14ac:dyDescent="0.2">
      <c r="A31" s="53" t="s">
        <v>52</v>
      </c>
      <c r="B31" s="55" t="s">
        <v>53</v>
      </c>
      <c r="C31" s="55"/>
    </row>
  </sheetData>
  <sheetProtection algorithmName="SHA-512" hashValue="TZWf/Lpv2ucjRWE1eDkZXGdikVK9DBe0B/mTt6+MG0mN4bXQxbnckoFaYf+A4ulr19/AZ/kwCpWzl0jpF3ZBYA==" saltValue="pJp9qEyS5YV8TB8eH0vj+A==" spinCount="100000" sheet="1" objects="1" scenarios="1"/>
  <mergeCells count="12">
    <mergeCell ref="B31:C31"/>
    <mergeCell ref="B1:C1"/>
    <mergeCell ref="A8:B8"/>
    <mergeCell ref="A12:B12"/>
    <mergeCell ref="A16:E16"/>
    <mergeCell ref="A24:E24"/>
    <mergeCell ref="A2:B2"/>
    <mergeCell ref="A3:B3"/>
    <mergeCell ref="A4:B4"/>
    <mergeCell ref="A5:B5"/>
    <mergeCell ref="A6:B6"/>
    <mergeCell ref="A7:B7"/>
  </mergeCells>
  <dataValidations count="2">
    <dataValidation type="list" showInputMessage="1" showErrorMessage="1" sqref="B9:B11" xr:uid="{00000000-0002-0000-0100-000000000000}">
      <formula1>opcion</formula1>
    </dataValidation>
    <dataValidation type="list" showInputMessage="1" showErrorMessage="1" sqref="B1:C1" xr:uid="{00000000-0002-0000-0100-000001000000}">
      <formula1>empresas</formula1>
    </dataValidation>
  </dataValidations>
  <hyperlinks>
    <hyperlink ref="B31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"/>
  <sheetViews>
    <sheetView topLeftCell="F1" workbookViewId="0">
      <selection activeCell="G7" sqref="G7"/>
    </sheetView>
  </sheetViews>
  <sheetFormatPr baseColWidth="10" defaultRowHeight="14" x14ac:dyDescent="0.15"/>
  <cols>
    <col min="7" max="7" width="16.1640625" bestFit="1" customWidth="1"/>
    <col min="9" max="9" width="14.33203125" customWidth="1"/>
    <col min="10" max="10" width="18.6640625" customWidth="1"/>
    <col min="11" max="11" width="16.5" customWidth="1"/>
  </cols>
  <sheetData>
    <row r="1" spans="1:16" x14ac:dyDescent="0.15">
      <c r="A1" s="73" t="s">
        <v>23</v>
      </c>
      <c r="B1" s="73"/>
      <c r="F1" s="17" t="s">
        <v>38</v>
      </c>
      <c r="G1" s="73" t="s">
        <v>46</v>
      </c>
      <c r="H1" s="73"/>
      <c r="I1" s="72" t="s">
        <v>40</v>
      </c>
      <c r="J1" s="72"/>
      <c r="K1" s="17" t="s">
        <v>41</v>
      </c>
      <c r="L1" s="17"/>
      <c r="M1" s="74" t="s">
        <v>42</v>
      </c>
      <c r="N1" s="75"/>
      <c r="O1" s="76" t="s">
        <v>43</v>
      </c>
      <c r="P1" s="76"/>
    </row>
    <row r="2" spans="1:16" ht="18" x14ac:dyDescent="0.2">
      <c r="A2" s="17">
        <v>0</v>
      </c>
      <c r="B2" s="17">
        <f>86+15</f>
        <v>101</v>
      </c>
      <c r="F2" s="17" t="s">
        <v>39</v>
      </c>
      <c r="G2" s="36" t="s">
        <v>44</v>
      </c>
      <c r="H2" s="37">
        <v>30</v>
      </c>
      <c r="I2" s="17">
        <v>0</v>
      </c>
      <c r="J2" s="17">
        <v>30</v>
      </c>
      <c r="K2" s="17">
        <v>0</v>
      </c>
      <c r="L2" s="17">
        <v>15</v>
      </c>
      <c r="M2" s="17">
        <v>0</v>
      </c>
      <c r="N2" s="17">
        <v>32</v>
      </c>
      <c r="O2" s="17"/>
      <c r="P2" s="17"/>
    </row>
    <row r="3" spans="1:16" ht="18" x14ac:dyDescent="0.2">
      <c r="A3" s="17">
        <v>25001</v>
      </c>
      <c r="B3" s="17">
        <f>73+15</f>
        <v>88</v>
      </c>
      <c r="G3" s="37" t="s">
        <v>45</v>
      </c>
      <c r="H3" s="37">
        <v>15</v>
      </c>
      <c r="I3" s="17">
        <v>200001</v>
      </c>
      <c r="J3" s="17">
        <v>20</v>
      </c>
      <c r="K3" s="17">
        <v>200001</v>
      </c>
      <c r="L3" s="17">
        <v>0</v>
      </c>
      <c r="M3" s="17">
        <v>200001</v>
      </c>
      <c r="N3" s="17">
        <v>0</v>
      </c>
      <c r="O3" s="17"/>
      <c r="P3" s="17"/>
    </row>
    <row r="4" spans="1:16" ht="18" x14ac:dyDescent="0.2">
      <c r="A4" s="17">
        <v>50001</v>
      </c>
      <c r="B4" s="17">
        <f>58+15</f>
        <v>73</v>
      </c>
      <c r="G4" s="37" t="s">
        <v>42</v>
      </c>
      <c r="H4" s="37">
        <v>32</v>
      </c>
      <c r="I4" s="17">
        <v>300001</v>
      </c>
      <c r="J4" s="17">
        <v>0</v>
      </c>
      <c r="K4" s="17"/>
      <c r="L4" s="17"/>
      <c r="M4" s="17"/>
      <c r="N4" s="17"/>
      <c r="O4" s="17"/>
      <c r="P4" s="17"/>
    </row>
    <row r="5" spans="1:16" ht="18" x14ac:dyDescent="0.2">
      <c r="A5" s="17">
        <v>100001</v>
      </c>
      <c r="B5" s="17">
        <f>43+10</f>
        <v>53</v>
      </c>
      <c r="G5" s="37" t="s">
        <v>43</v>
      </c>
      <c r="H5" s="37">
        <v>0</v>
      </c>
    </row>
    <row r="6" spans="1:16" ht="18" x14ac:dyDescent="0.2">
      <c r="A6" s="17">
        <v>150001</v>
      </c>
      <c r="B6" s="17">
        <v>37</v>
      </c>
      <c r="G6" s="37"/>
      <c r="H6" s="37"/>
    </row>
    <row r="7" spans="1:16" ht="18" x14ac:dyDescent="0.2">
      <c r="A7" s="17">
        <v>175001</v>
      </c>
      <c r="B7" s="17">
        <v>0</v>
      </c>
      <c r="G7" s="37"/>
      <c r="H7" s="37"/>
    </row>
    <row r="8" spans="1:16" ht="18" x14ac:dyDescent="0.2">
      <c r="A8" s="17">
        <v>200001</v>
      </c>
      <c r="B8" s="17">
        <v>-15</v>
      </c>
      <c r="G8" s="37"/>
      <c r="H8" s="37"/>
    </row>
    <row r="9" spans="1:16" ht="18" x14ac:dyDescent="0.2">
      <c r="A9" s="17">
        <v>300001</v>
      </c>
      <c r="B9" s="17">
        <v>-27</v>
      </c>
      <c r="G9" s="37"/>
      <c r="H9" s="37"/>
    </row>
    <row r="10" spans="1:16" ht="18" x14ac:dyDescent="0.2">
      <c r="A10" s="17">
        <v>400001</v>
      </c>
      <c r="B10" s="17">
        <v>-43</v>
      </c>
      <c r="G10" s="37"/>
      <c r="H10" s="37"/>
    </row>
    <row r="11" spans="1:16" x14ac:dyDescent="0.15">
      <c r="A11" s="17">
        <v>500001</v>
      </c>
      <c r="B11" s="17">
        <v>-58</v>
      </c>
    </row>
    <row r="12" spans="1:16" x14ac:dyDescent="0.15">
      <c r="A12" s="17">
        <v>600001</v>
      </c>
      <c r="B12" s="17">
        <v>-73</v>
      </c>
    </row>
  </sheetData>
  <mergeCells count="5">
    <mergeCell ref="I1:J1"/>
    <mergeCell ref="G1:H1"/>
    <mergeCell ref="M1:N1"/>
    <mergeCell ref="O1:P1"/>
    <mergeCell ref="A1: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CMT</vt:lpstr>
      <vt:lpstr>RCS Tanque</vt:lpstr>
      <vt:lpstr>Datos</vt:lpstr>
      <vt:lpstr>Alpina</vt:lpstr>
      <vt:lpstr>empresa_rcs</vt:lpstr>
      <vt:lpstr>empresas</vt:lpstr>
      <vt:lpstr>opcion</vt:lpstr>
      <vt:lpstr>otro</vt:lpstr>
      <vt:lpstr>productor_colanta</vt:lpstr>
      <vt:lpstr>Socio_Colanta</vt:lpstr>
      <vt:lpstr>ufc</vt:lpstr>
    </vt:vector>
  </TitlesOfParts>
  <Company>Bayer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Guzman</dc:creator>
  <cp:lastModifiedBy>Microsoft Office User</cp:lastModifiedBy>
  <dcterms:created xsi:type="dcterms:W3CDTF">2016-06-07T11:21:52Z</dcterms:created>
  <dcterms:modified xsi:type="dcterms:W3CDTF">2020-07-21T22:32:39Z</dcterms:modified>
</cp:coreProperties>
</file>