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anette Zapata M\Desktop\"/>
    </mc:Choice>
  </mc:AlternateContent>
  <bookViews>
    <workbookView xWindow="0" yWindow="0" windowWidth="20490" windowHeight="7755" tabRatio="805" firstSheet="2"/>
  </bookViews>
  <sheets>
    <sheet name="Tasas" sheetId="2" r:id="rId1"/>
    <sheet name="Contrato 9312" sheetId="3" r:id="rId2"/>
    <sheet name="Contrato 9311" sheetId="4" r:id="rId3"/>
    <sheet name="Contrato 24606" sheetId="5" r:id="rId4"/>
    <sheet name="ER Inicial" sheetId="6" r:id="rId5"/>
    <sheet name="BG Inicial" sheetId="7" r:id="rId6"/>
    <sheet name="Ajustes convergencia" sheetId="8" r:id="rId7"/>
    <sheet name="Hoja de trabajo de conversión" sheetId="1" r:id="rId8"/>
    <sheet name="Indicadores GF" sheetId="9" r:id="rId9"/>
  </sheets>
  <definedNames>
    <definedName name="_xlnm._FilterDatabase" localSheetId="0" hidden="1">Tasas!$B$2:$N$45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5" l="1"/>
  <c r="B9" i="4"/>
  <c r="B9" i="3"/>
  <c r="H48" i="9" l="1"/>
  <c r="M46" i="1" l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17" i="1"/>
  <c r="L46" i="1"/>
  <c r="G15" i="1" l="1"/>
  <c r="G16" i="1"/>
  <c r="G14" i="1"/>
  <c r="G19" i="1" l="1"/>
  <c r="G5" i="1"/>
  <c r="G17" i="1"/>
  <c r="G41" i="1" s="1"/>
  <c r="G18" i="1"/>
  <c r="M51" i="1" s="1"/>
  <c r="L52" i="1"/>
  <c r="L51" i="1"/>
  <c r="L53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G27" i="1"/>
  <c r="G28" i="1"/>
  <c r="G30" i="1"/>
  <c r="G31" i="1"/>
  <c r="G29" i="1" s="1"/>
  <c r="G32" i="1"/>
  <c r="G33" i="1"/>
  <c r="G34" i="1"/>
  <c r="G35" i="1"/>
  <c r="F16" i="1"/>
  <c r="C7" i="8"/>
  <c r="E7" i="8"/>
  <c r="L47" i="1"/>
  <c r="L48" i="1"/>
  <c r="M52" i="1" l="1"/>
  <c r="D13" i="1" l="1"/>
  <c r="D38" i="1" s="1"/>
  <c r="E15" i="1"/>
  <c r="E38" i="1" s="1"/>
  <c r="F28" i="1"/>
  <c r="C36" i="1"/>
  <c r="F37" i="1"/>
  <c r="C38" i="1"/>
  <c r="F38" i="1" l="1"/>
  <c r="C11" i="8"/>
  <c r="C13" i="8" s="1"/>
  <c r="A11" i="8"/>
  <c r="D11" i="8" l="1"/>
  <c r="B12" i="8"/>
  <c r="B29" i="1"/>
  <c r="I34" i="1"/>
  <c r="I33" i="1"/>
  <c r="I32" i="1"/>
  <c r="I31" i="1"/>
  <c r="I30" i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B14" i="1"/>
  <c r="G13" i="1"/>
  <c r="G12" i="1"/>
  <c r="G11" i="1"/>
  <c r="G10" i="1"/>
  <c r="G9" i="1"/>
  <c r="G8" i="1"/>
  <c r="G7" i="1"/>
  <c r="G6" i="1"/>
  <c r="B5" i="1"/>
  <c r="H6" i="1" l="1"/>
  <c r="I6" i="1" s="1"/>
  <c r="H8" i="1"/>
  <c r="I8" i="1" s="1"/>
  <c r="H10" i="1"/>
  <c r="I10" i="1" s="1"/>
  <c r="H12" i="1"/>
  <c r="I12" i="1" s="1"/>
  <c r="H7" i="1"/>
  <c r="I7" i="1" s="1"/>
  <c r="H9" i="1"/>
  <c r="I9" i="1" s="1"/>
  <c r="H11" i="1"/>
  <c r="I11" i="1" s="1"/>
  <c r="G30" i="9"/>
  <c r="G48" i="9"/>
  <c r="G29" i="9"/>
  <c r="H13" i="1"/>
  <c r="I13" i="1" s="1"/>
  <c r="B4" i="1"/>
  <c r="D12" i="8"/>
  <c r="B13" i="8"/>
  <c r="F4" i="8"/>
  <c r="F8" i="8" s="1"/>
  <c r="B7" i="4"/>
  <c r="K4" i="4" s="1"/>
  <c r="B8" i="4"/>
  <c r="G5" i="4"/>
  <c r="O15" i="4"/>
  <c r="O14" i="4"/>
  <c r="O13" i="4"/>
  <c r="O12" i="4"/>
  <c r="O11" i="4"/>
  <c r="O10" i="4"/>
  <c r="O9" i="4"/>
  <c r="O8" i="4"/>
  <c r="O7" i="4"/>
  <c r="O6" i="4"/>
  <c r="O5" i="4"/>
  <c r="P5" i="4" s="1"/>
  <c r="P6" i="4"/>
  <c r="D4" i="8"/>
  <c r="D8" i="8" s="1"/>
  <c r="B4" i="8"/>
  <c r="Q4" i="3"/>
  <c r="O5" i="3"/>
  <c r="P5" i="3" s="1"/>
  <c r="O6" i="3"/>
  <c r="O7" i="3"/>
  <c r="O8" i="3"/>
  <c r="O9" i="3"/>
  <c r="O10" i="3"/>
  <c r="O11" i="3"/>
  <c r="O12" i="3"/>
  <c r="O13" i="3"/>
  <c r="O14" i="3"/>
  <c r="O15" i="3"/>
  <c r="B7" i="3"/>
  <c r="K4" i="3"/>
  <c r="B18" i="1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5" i="5"/>
  <c r="P4" i="5"/>
  <c r="O5" i="5"/>
  <c r="O6" i="5" s="1"/>
  <c r="P6" i="5" s="1"/>
  <c r="C7" i="7"/>
  <c r="C17" i="7"/>
  <c r="C21" i="7" s="1"/>
  <c r="C24" i="7"/>
  <c r="C34" i="7"/>
  <c r="C41" i="7"/>
  <c r="C8" i="6"/>
  <c r="C12" i="6" s="1"/>
  <c r="C16" i="6"/>
  <c r="C22" i="6"/>
  <c r="C26" i="6"/>
  <c r="C7" i="5"/>
  <c r="J4" i="5" s="1"/>
  <c r="Q4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Q6" i="4"/>
  <c r="Q5" i="4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Q5" i="3"/>
  <c r="M45" i="2"/>
  <c r="N45" i="2" s="1"/>
  <c r="G45" i="2"/>
  <c r="J45" i="2" s="1"/>
  <c r="K45" i="2" s="1"/>
  <c r="L45" i="2" s="1"/>
  <c r="F45" i="2"/>
  <c r="M44" i="2"/>
  <c r="N44" i="2"/>
  <c r="G44" i="2"/>
  <c r="J44" i="2"/>
  <c r="K44" i="2" s="1"/>
  <c r="L44" i="2" s="1"/>
  <c r="F44" i="2"/>
  <c r="M43" i="2"/>
  <c r="N43" i="2" s="1"/>
  <c r="G43" i="2"/>
  <c r="J43" i="2" s="1"/>
  <c r="K43" i="2" s="1"/>
  <c r="L43" i="2" s="1"/>
  <c r="F43" i="2"/>
  <c r="M42" i="2"/>
  <c r="N42" i="2"/>
  <c r="G42" i="2"/>
  <c r="J42" i="2"/>
  <c r="K42" i="2" s="1"/>
  <c r="L42" i="2" s="1"/>
  <c r="F42" i="2"/>
  <c r="M41" i="2"/>
  <c r="N41" i="2" s="1"/>
  <c r="G41" i="2"/>
  <c r="J41" i="2" s="1"/>
  <c r="K41" i="2" s="1"/>
  <c r="L41" i="2" s="1"/>
  <c r="F41" i="2"/>
  <c r="M40" i="2"/>
  <c r="N40" i="2"/>
  <c r="G40" i="2"/>
  <c r="J40" i="2"/>
  <c r="K40" i="2" s="1"/>
  <c r="L40" i="2" s="1"/>
  <c r="F40" i="2"/>
  <c r="M39" i="2"/>
  <c r="N39" i="2" s="1"/>
  <c r="G39" i="2"/>
  <c r="J39" i="2" s="1"/>
  <c r="K39" i="2" s="1"/>
  <c r="L39" i="2" s="1"/>
  <c r="F39" i="2"/>
  <c r="M38" i="2"/>
  <c r="N38" i="2"/>
  <c r="G38" i="2"/>
  <c r="J38" i="2"/>
  <c r="K38" i="2" s="1"/>
  <c r="L38" i="2" s="1"/>
  <c r="F38" i="2"/>
  <c r="M37" i="2"/>
  <c r="N37" i="2" s="1"/>
  <c r="G37" i="2"/>
  <c r="J37" i="2" s="1"/>
  <c r="K37" i="2" s="1"/>
  <c r="L37" i="2" s="1"/>
  <c r="F37" i="2"/>
  <c r="M36" i="2"/>
  <c r="N36" i="2"/>
  <c r="G36" i="2"/>
  <c r="J36" i="2"/>
  <c r="K36" i="2" s="1"/>
  <c r="L36" i="2" s="1"/>
  <c r="F36" i="2"/>
  <c r="M35" i="2"/>
  <c r="N35" i="2" s="1"/>
  <c r="G35" i="2"/>
  <c r="J35" i="2" s="1"/>
  <c r="K35" i="2" s="1"/>
  <c r="L35" i="2" s="1"/>
  <c r="F35" i="2"/>
  <c r="M34" i="2"/>
  <c r="N34" i="2"/>
  <c r="G34" i="2"/>
  <c r="J34" i="2"/>
  <c r="K34" i="2" s="1"/>
  <c r="L34" i="2" s="1"/>
  <c r="F34" i="2"/>
  <c r="M33" i="2"/>
  <c r="N33" i="2" s="1"/>
  <c r="G33" i="2"/>
  <c r="J33" i="2" s="1"/>
  <c r="K33" i="2" s="1"/>
  <c r="L33" i="2" s="1"/>
  <c r="F33" i="2"/>
  <c r="M32" i="2"/>
  <c r="N32" i="2"/>
  <c r="G32" i="2"/>
  <c r="J32" i="2"/>
  <c r="K32" i="2" s="1"/>
  <c r="L32" i="2" s="1"/>
  <c r="F32" i="2"/>
  <c r="M31" i="2"/>
  <c r="N31" i="2" s="1"/>
  <c r="G31" i="2"/>
  <c r="J31" i="2" s="1"/>
  <c r="K31" i="2" s="1"/>
  <c r="L31" i="2" s="1"/>
  <c r="F31" i="2"/>
  <c r="M30" i="2"/>
  <c r="N30" i="2"/>
  <c r="G30" i="2"/>
  <c r="J30" i="2"/>
  <c r="K30" i="2" s="1"/>
  <c r="L30" i="2" s="1"/>
  <c r="F30" i="2"/>
  <c r="M29" i="2"/>
  <c r="N29" i="2" s="1"/>
  <c r="G29" i="2"/>
  <c r="J29" i="2" s="1"/>
  <c r="K29" i="2" s="1"/>
  <c r="L29" i="2" s="1"/>
  <c r="F29" i="2"/>
  <c r="M28" i="2"/>
  <c r="N28" i="2"/>
  <c r="G28" i="2"/>
  <c r="J28" i="2"/>
  <c r="K28" i="2" s="1"/>
  <c r="L28" i="2" s="1"/>
  <c r="F28" i="2"/>
  <c r="M27" i="2"/>
  <c r="N27" i="2" s="1"/>
  <c r="G27" i="2"/>
  <c r="J27" i="2" s="1"/>
  <c r="K27" i="2" s="1"/>
  <c r="L27" i="2" s="1"/>
  <c r="F27" i="2"/>
  <c r="M26" i="2"/>
  <c r="N26" i="2"/>
  <c r="G26" i="2"/>
  <c r="J26" i="2"/>
  <c r="K26" i="2" s="1"/>
  <c r="L26" i="2" s="1"/>
  <c r="F26" i="2"/>
  <c r="M25" i="2"/>
  <c r="N25" i="2" s="1"/>
  <c r="G25" i="2"/>
  <c r="J25" i="2" s="1"/>
  <c r="K25" i="2" s="1"/>
  <c r="L25" i="2" s="1"/>
  <c r="F25" i="2"/>
  <c r="M24" i="2"/>
  <c r="N24" i="2"/>
  <c r="G24" i="2"/>
  <c r="J24" i="2"/>
  <c r="K24" i="2" s="1"/>
  <c r="L24" i="2" s="1"/>
  <c r="F24" i="2"/>
  <c r="M23" i="2"/>
  <c r="N23" i="2" s="1"/>
  <c r="G23" i="2"/>
  <c r="J23" i="2" s="1"/>
  <c r="K23" i="2" s="1"/>
  <c r="L23" i="2" s="1"/>
  <c r="F23" i="2"/>
  <c r="M22" i="2"/>
  <c r="N22" i="2"/>
  <c r="G22" i="2"/>
  <c r="J22" i="2"/>
  <c r="K22" i="2" s="1"/>
  <c r="L22" i="2" s="1"/>
  <c r="F22" i="2"/>
  <c r="M21" i="2"/>
  <c r="N21" i="2" s="1"/>
  <c r="G21" i="2"/>
  <c r="J21" i="2" s="1"/>
  <c r="K21" i="2" s="1"/>
  <c r="L21" i="2" s="1"/>
  <c r="F21" i="2"/>
  <c r="M20" i="2"/>
  <c r="N20" i="2"/>
  <c r="G20" i="2"/>
  <c r="J20" i="2"/>
  <c r="K20" i="2" s="1"/>
  <c r="L20" i="2" s="1"/>
  <c r="F20" i="2"/>
  <c r="M19" i="2"/>
  <c r="N19" i="2" s="1"/>
  <c r="G19" i="2"/>
  <c r="J19" i="2" s="1"/>
  <c r="K19" i="2" s="1"/>
  <c r="L19" i="2" s="1"/>
  <c r="F19" i="2"/>
  <c r="M18" i="2"/>
  <c r="N18" i="2"/>
  <c r="G18" i="2"/>
  <c r="J18" i="2"/>
  <c r="K18" i="2" s="1"/>
  <c r="L18" i="2" s="1"/>
  <c r="F18" i="2"/>
  <c r="M17" i="2"/>
  <c r="N17" i="2" s="1"/>
  <c r="G17" i="2"/>
  <c r="J17" i="2" s="1"/>
  <c r="K17" i="2" s="1"/>
  <c r="L17" i="2" s="1"/>
  <c r="F17" i="2"/>
  <c r="M16" i="2"/>
  <c r="N16" i="2"/>
  <c r="G16" i="2"/>
  <c r="J16" i="2"/>
  <c r="K16" i="2" s="1"/>
  <c r="L16" i="2" s="1"/>
  <c r="F16" i="2"/>
  <c r="M15" i="2"/>
  <c r="N15" i="2" s="1"/>
  <c r="G15" i="2"/>
  <c r="J15" i="2" s="1"/>
  <c r="K15" i="2" s="1"/>
  <c r="L15" i="2" s="1"/>
  <c r="F15" i="2"/>
  <c r="M14" i="2"/>
  <c r="N14" i="2"/>
  <c r="G14" i="2"/>
  <c r="J14" i="2"/>
  <c r="K14" i="2" s="1"/>
  <c r="L14" i="2" s="1"/>
  <c r="F14" i="2"/>
  <c r="M13" i="2"/>
  <c r="N13" i="2" s="1"/>
  <c r="G13" i="2"/>
  <c r="J13" i="2" s="1"/>
  <c r="K13" i="2" s="1"/>
  <c r="L13" i="2" s="1"/>
  <c r="F13" i="2"/>
  <c r="M12" i="2"/>
  <c r="N12" i="2"/>
  <c r="G12" i="2"/>
  <c r="J12" i="2"/>
  <c r="K12" i="2" s="1"/>
  <c r="L12" i="2" s="1"/>
  <c r="F12" i="2"/>
  <c r="M11" i="2"/>
  <c r="N11" i="2" s="1"/>
  <c r="G11" i="2"/>
  <c r="J11" i="2" s="1"/>
  <c r="K11" i="2" s="1"/>
  <c r="L11" i="2" s="1"/>
  <c r="F11" i="2"/>
  <c r="M10" i="2"/>
  <c r="N10" i="2"/>
  <c r="G10" i="2"/>
  <c r="J10" i="2"/>
  <c r="K10" i="2" s="1"/>
  <c r="L10" i="2" s="1"/>
  <c r="F10" i="2"/>
  <c r="M9" i="2"/>
  <c r="N9" i="2" s="1"/>
  <c r="G9" i="2"/>
  <c r="J9" i="2" s="1"/>
  <c r="K9" i="2" s="1"/>
  <c r="L9" i="2" s="1"/>
  <c r="F9" i="2"/>
  <c r="M8" i="2"/>
  <c r="N8" i="2"/>
  <c r="G8" i="2"/>
  <c r="J8" i="2"/>
  <c r="K8" i="2" s="1"/>
  <c r="L8" i="2" s="1"/>
  <c r="F8" i="2"/>
  <c r="M7" i="2"/>
  <c r="N7" i="2" s="1"/>
  <c r="G7" i="2"/>
  <c r="J7" i="2" s="1"/>
  <c r="K7" i="2" s="1"/>
  <c r="L7" i="2" s="1"/>
  <c r="F7" i="2"/>
  <c r="M6" i="2"/>
  <c r="N6" i="2"/>
  <c r="G6" i="2"/>
  <c r="J6" i="2"/>
  <c r="K6" i="2" s="1"/>
  <c r="L6" i="2" s="1"/>
  <c r="F6" i="2"/>
  <c r="M5" i="2"/>
  <c r="N5" i="2" s="1"/>
  <c r="G5" i="2"/>
  <c r="J5" i="2" s="1"/>
  <c r="K5" i="2" s="1"/>
  <c r="L5" i="2" s="1"/>
  <c r="F5" i="2"/>
  <c r="M4" i="2"/>
  <c r="N4" i="2"/>
  <c r="G4" i="2"/>
  <c r="J4" i="2"/>
  <c r="K4" i="2" s="1"/>
  <c r="L4" i="2" s="1"/>
  <c r="F4" i="2"/>
  <c r="M3" i="2"/>
  <c r="N3" i="2" s="1"/>
  <c r="G3" i="2"/>
  <c r="J3" i="2" s="1"/>
  <c r="K3" i="2" s="1"/>
  <c r="L3" i="2" s="1"/>
  <c r="F3" i="2"/>
  <c r="B17" i="1" l="1"/>
  <c r="G45" i="9"/>
  <c r="K8" i="1"/>
  <c r="K10" i="1"/>
  <c r="K12" i="1"/>
  <c r="K16" i="1"/>
  <c r="G31" i="9"/>
  <c r="K7" i="1"/>
  <c r="K9" i="1"/>
  <c r="K11" i="1"/>
  <c r="K13" i="1"/>
  <c r="K15" i="1"/>
  <c r="K6" i="1"/>
  <c r="G28" i="9"/>
  <c r="G27" i="9"/>
  <c r="G4" i="9"/>
  <c r="K5" i="1"/>
  <c r="L41" i="1" s="1"/>
  <c r="H5" i="1"/>
  <c r="I5" i="1" s="1"/>
  <c r="G6" i="9"/>
  <c r="K14" i="1"/>
  <c r="L42" i="1" s="1"/>
  <c r="H5" i="5"/>
  <c r="O7" i="5"/>
  <c r="G5" i="5"/>
  <c r="C18" i="6"/>
  <c r="C28" i="6" s="1"/>
  <c r="C32" i="6" s="1"/>
  <c r="C43" i="7"/>
  <c r="P5" i="5"/>
  <c r="F5" i="3"/>
  <c r="G5" i="3"/>
  <c r="P6" i="3"/>
  <c r="P7" i="4"/>
  <c r="F5" i="4"/>
  <c r="H4" i="8"/>
  <c r="B8" i="8"/>
  <c r="L43" i="1" l="1"/>
  <c r="G46" i="9"/>
  <c r="G44" i="9"/>
  <c r="H5" i="4"/>
  <c r="K5" i="4" s="1"/>
  <c r="J5" i="4"/>
  <c r="P7" i="3"/>
  <c r="Q6" i="3"/>
  <c r="O8" i="5"/>
  <c r="P7" i="5"/>
  <c r="P8" i="4"/>
  <c r="Q7" i="4"/>
  <c r="H5" i="3"/>
  <c r="K5" i="3" s="1"/>
  <c r="J5" i="3"/>
  <c r="I5" i="5"/>
  <c r="J5" i="5" s="1"/>
  <c r="H15" i="1" l="1"/>
  <c r="I15" i="1" s="1"/>
  <c r="H6" i="5"/>
  <c r="G6" i="5"/>
  <c r="I6" i="5" s="1"/>
  <c r="J6" i="5" s="1"/>
  <c r="F6" i="3"/>
  <c r="G6" i="3"/>
  <c r="Q8" i="4"/>
  <c r="P9" i="4"/>
  <c r="P8" i="5"/>
  <c r="O9" i="5"/>
  <c r="P8" i="3"/>
  <c r="Q7" i="3"/>
  <c r="F6" i="4"/>
  <c r="G6" i="4"/>
  <c r="H7" i="5" l="1"/>
  <c r="J7" i="5"/>
  <c r="G7" i="5"/>
  <c r="I7" i="5" s="1"/>
  <c r="H6" i="4"/>
  <c r="K6" i="4" s="1"/>
  <c r="J6" i="4"/>
  <c r="P9" i="3"/>
  <c r="Q8" i="3"/>
  <c r="O10" i="5"/>
  <c r="P9" i="5"/>
  <c r="Q9" i="4"/>
  <c r="P10" i="4"/>
  <c r="H6" i="3"/>
  <c r="K6" i="3" s="1"/>
  <c r="J6" i="3"/>
  <c r="F7" i="3" l="1"/>
  <c r="G7" i="3"/>
  <c r="P10" i="5"/>
  <c r="O11" i="5"/>
  <c r="P10" i="3"/>
  <c r="Q9" i="3"/>
  <c r="F7" i="4"/>
  <c r="G7" i="4"/>
  <c r="H8" i="5"/>
  <c r="G8" i="5"/>
  <c r="I8" i="5" s="1"/>
  <c r="J8" i="5" s="1"/>
  <c r="Q10" i="4"/>
  <c r="P11" i="4"/>
  <c r="H9" i="5" l="1"/>
  <c r="G9" i="5"/>
  <c r="I9" i="5" s="1"/>
  <c r="J9" i="5" s="1"/>
  <c r="H7" i="4"/>
  <c r="K7" i="4" s="1"/>
  <c r="J7" i="4"/>
  <c r="P11" i="3"/>
  <c r="Q10" i="3"/>
  <c r="P12" i="4"/>
  <c r="Q11" i="4"/>
  <c r="O12" i="5"/>
  <c r="P11" i="5"/>
  <c r="H7" i="3"/>
  <c r="K7" i="3" s="1"/>
  <c r="J7" i="3"/>
  <c r="H10" i="5" l="1"/>
  <c r="G10" i="5"/>
  <c r="I10" i="5" s="1"/>
  <c r="J10" i="5" s="1"/>
  <c r="F8" i="3"/>
  <c r="G8" i="3"/>
  <c r="G5" i="8"/>
  <c r="P12" i="5"/>
  <c r="O13" i="5"/>
  <c r="Q12" i="4"/>
  <c r="P13" i="4"/>
  <c r="P12" i="3"/>
  <c r="Q11" i="3"/>
  <c r="F8" i="4"/>
  <c r="G8" i="4"/>
  <c r="H11" i="5" l="1"/>
  <c r="G11" i="5"/>
  <c r="I11" i="5" s="1"/>
  <c r="J11" i="5" s="1"/>
  <c r="H8" i="4"/>
  <c r="K8" i="4" s="1"/>
  <c r="J8" i="4"/>
  <c r="P13" i="3"/>
  <c r="Q12" i="3"/>
  <c r="H8" i="3"/>
  <c r="K8" i="3" s="1"/>
  <c r="J8" i="3"/>
  <c r="P14" i="4"/>
  <c r="Q13" i="4"/>
  <c r="O14" i="5"/>
  <c r="P13" i="5"/>
  <c r="H12" i="5" l="1"/>
  <c r="G12" i="5"/>
  <c r="I12" i="5" s="1"/>
  <c r="J12" i="5" s="1"/>
  <c r="P14" i="5"/>
  <c r="O15" i="5"/>
  <c r="Q14" i="4"/>
  <c r="P15" i="4"/>
  <c r="F9" i="3"/>
  <c r="G9" i="3"/>
  <c r="P14" i="3"/>
  <c r="Q13" i="3"/>
  <c r="F9" i="4"/>
  <c r="G9" i="4"/>
  <c r="G6" i="8" l="1"/>
  <c r="G7" i="8" s="1"/>
  <c r="G8" i="8" s="1"/>
  <c r="H13" i="5"/>
  <c r="J13" i="5"/>
  <c r="G13" i="5"/>
  <c r="I13" i="5" s="1"/>
  <c r="H9" i="4"/>
  <c r="K9" i="4" s="1"/>
  <c r="J9" i="4"/>
  <c r="H9" i="3"/>
  <c r="K9" i="3" s="1"/>
  <c r="J9" i="3"/>
  <c r="P15" i="3"/>
  <c r="Q14" i="3"/>
  <c r="E5" i="8"/>
  <c r="Q15" i="4"/>
  <c r="P16" i="4"/>
  <c r="O16" i="5"/>
  <c r="P15" i="5"/>
  <c r="P16" i="5" l="1"/>
  <c r="O17" i="5"/>
  <c r="Q16" i="4"/>
  <c r="P17" i="4"/>
  <c r="P16" i="3"/>
  <c r="C5" i="8"/>
  <c r="Q15" i="3"/>
  <c r="F10" i="3"/>
  <c r="G10" i="3"/>
  <c r="F10" i="4"/>
  <c r="G10" i="4"/>
  <c r="H14" i="5"/>
  <c r="G14" i="5"/>
  <c r="I14" i="5" s="1"/>
  <c r="J14" i="5" s="1"/>
  <c r="H15" i="5" l="1"/>
  <c r="G15" i="5"/>
  <c r="I15" i="5" s="1"/>
  <c r="J15" i="5" s="1"/>
  <c r="H10" i="3"/>
  <c r="K10" i="3" s="1"/>
  <c r="J10" i="3"/>
  <c r="H5" i="8"/>
  <c r="Q17" i="4"/>
  <c r="P18" i="4"/>
  <c r="O18" i="5"/>
  <c r="P17" i="5"/>
  <c r="H10" i="4"/>
  <c r="K10" i="4" s="1"/>
  <c r="J10" i="4"/>
  <c r="P17" i="3"/>
  <c r="Q16" i="3"/>
  <c r="H16" i="5" l="1"/>
  <c r="G16" i="5"/>
  <c r="I16" i="5" s="1"/>
  <c r="J16" i="5" s="1"/>
  <c r="P18" i="3"/>
  <c r="Q17" i="3"/>
  <c r="F11" i="4"/>
  <c r="G11" i="4"/>
  <c r="P18" i="5"/>
  <c r="O19" i="5"/>
  <c r="F11" i="3"/>
  <c r="G11" i="3"/>
  <c r="Q18" i="4"/>
  <c r="P19" i="4"/>
  <c r="H16" i="1" l="1"/>
  <c r="I16" i="1" s="1"/>
  <c r="H17" i="5"/>
  <c r="G17" i="5"/>
  <c r="I17" i="5" s="1"/>
  <c r="J17" i="5" s="1"/>
  <c r="Q19" i="4"/>
  <c r="P20" i="4"/>
  <c r="H11" i="3"/>
  <c r="K11" i="3" s="1"/>
  <c r="J11" i="3"/>
  <c r="O20" i="5"/>
  <c r="P19" i="5"/>
  <c r="H11" i="4"/>
  <c r="K11" i="4" s="1"/>
  <c r="J11" i="4"/>
  <c r="P19" i="3"/>
  <c r="Q18" i="3"/>
  <c r="G4" i="1" l="1"/>
  <c r="H4" i="1" s="1"/>
  <c r="H14" i="1"/>
  <c r="I14" i="1" s="1"/>
  <c r="H18" i="5"/>
  <c r="G18" i="5"/>
  <c r="I18" i="5" s="1"/>
  <c r="J18" i="5" s="1"/>
  <c r="P20" i="3"/>
  <c r="Q19" i="3"/>
  <c r="F12" i="4"/>
  <c r="G12" i="4"/>
  <c r="P20" i="5"/>
  <c r="O21" i="5"/>
  <c r="F12" i="3"/>
  <c r="G12" i="3"/>
  <c r="Q20" i="4"/>
  <c r="P21" i="4"/>
  <c r="H28" i="9" l="1"/>
  <c r="H27" i="9"/>
  <c r="L13" i="1"/>
  <c r="L6" i="1"/>
  <c r="L8" i="1"/>
  <c r="L10" i="1"/>
  <c r="L12" i="1"/>
  <c r="L7" i="1"/>
  <c r="L9" i="1"/>
  <c r="L11" i="1"/>
  <c r="H6" i="9"/>
  <c r="L5" i="1"/>
  <c r="M41" i="1" s="1"/>
  <c r="L15" i="1"/>
  <c r="L16" i="1"/>
  <c r="L14" i="1"/>
  <c r="M42" i="1" s="1"/>
  <c r="G40" i="1"/>
  <c r="I4" i="1"/>
  <c r="H19" i="5"/>
  <c r="G19" i="5"/>
  <c r="I19" i="5" s="1"/>
  <c r="J19" i="5" s="1"/>
  <c r="Q21" i="4"/>
  <c r="P22" i="4"/>
  <c r="O22" i="5"/>
  <c r="P21" i="5"/>
  <c r="H12" i="4"/>
  <c r="K12" i="4" s="1"/>
  <c r="J12" i="4"/>
  <c r="P21" i="3"/>
  <c r="Q20" i="3"/>
  <c r="H12" i="3"/>
  <c r="K12" i="3" s="1"/>
  <c r="J12" i="3"/>
  <c r="M43" i="1" l="1"/>
  <c r="H20" i="5"/>
  <c r="G20" i="5"/>
  <c r="I20" i="5" s="1"/>
  <c r="J20" i="5" s="1"/>
  <c r="Q22" i="4"/>
  <c r="P23" i="4"/>
  <c r="F13" i="3"/>
  <c r="G13" i="3"/>
  <c r="P22" i="3"/>
  <c r="Q21" i="3"/>
  <c r="F13" i="4"/>
  <c r="G13" i="4"/>
  <c r="P22" i="5"/>
  <c r="O23" i="5"/>
  <c r="H21" i="5" l="1"/>
  <c r="G21" i="5"/>
  <c r="I21" i="5" s="1"/>
  <c r="J21" i="5" s="1"/>
  <c r="H13" i="4"/>
  <c r="K13" i="4" s="1"/>
  <c r="J13" i="4"/>
  <c r="H13" i="3"/>
  <c r="K13" i="3" s="1"/>
  <c r="J13" i="3"/>
  <c r="O24" i="5"/>
  <c r="P23" i="5"/>
  <c r="P23" i="3"/>
  <c r="Q22" i="3"/>
  <c r="Q23" i="4"/>
  <c r="P24" i="4"/>
  <c r="H22" i="5" l="1"/>
  <c r="G22" i="5"/>
  <c r="I22" i="5" s="1"/>
  <c r="J22" i="5" s="1"/>
  <c r="P24" i="3"/>
  <c r="Q23" i="3"/>
  <c r="P24" i="5"/>
  <c r="O25" i="5"/>
  <c r="F14" i="3"/>
  <c r="G14" i="3"/>
  <c r="F14" i="4"/>
  <c r="G14" i="4"/>
  <c r="Q24" i="4"/>
  <c r="P25" i="4"/>
  <c r="H23" i="5" l="1"/>
  <c r="G23" i="5"/>
  <c r="I23" i="5" s="1"/>
  <c r="J23" i="5" s="1"/>
  <c r="Q25" i="4"/>
  <c r="P26" i="4"/>
  <c r="H14" i="3"/>
  <c r="K14" i="3" s="1"/>
  <c r="J14" i="3"/>
  <c r="P25" i="3"/>
  <c r="Q24" i="3"/>
  <c r="H14" i="4"/>
  <c r="K14" i="4" s="1"/>
  <c r="J14" i="4"/>
  <c r="O26" i="5"/>
  <c r="P25" i="5"/>
  <c r="H24" i="5" l="1"/>
  <c r="G24" i="5"/>
  <c r="I24" i="5" s="1"/>
  <c r="J24" i="5" s="1"/>
  <c r="Q26" i="4"/>
  <c r="P27" i="4"/>
  <c r="P26" i="5"/>
  <c r="O27" i="5"/>
  <c r="F15" i="4"/>
  <c r="G15" i="4"/>
  <c r="P26" i="3"/>
  <c r="Q25" i="3"/>
  <c r="F15" i="3"/>
  <c r="G15" i="3"/>
  <c r="H25" i="5" l="1"/>
  <c r="J25" i="5"/>
  <c r="G25" i="5"/>
  <c r="I25" i="5" s="1"/>
  <c r="H15" i="4"/>
  <c r="K15" i="4" s="1"/>
  <c r="J15" i="4"/>
  <c r="H15" i="3"/>
  <c r="K15" i="3" s="1"/>
  <c r="J15" i="3"/>
  <c r="P27" i="3"/>
  <c r="Q26" i="3"/>
  <c r="O28" i="5"/>
  <c r="P27" i="5"/>
  <c r="Q27" i="4"/>
  <c r="P28" i="4"/>
  <c r="P28" i="5" l="1"/>
  <c r="O29" i="5"/>
  <c r="P28" i="3"/>
  <c r="Q27" i="3"/>
  <c r="C6" i="8"/>
  <c r="F16" i="3"/>
  <c r="G16" i="3"/>
  <c r="E6" i="8"/>
  <c r="F16" i="4"/>
  <c r="G16" i="4"/>
  <c r="H26" i="5"/>
  <c r="J26" i="5"/>
  <c r="G26" i="5"/>
  <c r="I26" i="5" s="1"/>
  <c r="Q28" i="4"/>
  <c r="P29" i="4"/>
  <c r="H27" i="5" l="1"/>
  <c r="J27" i="5"/>
  <c r="G27" i="5"/>
  <c r="I27" i="5" s="1"/>
  <c r="J16" i="4"/>
  <c r="H16" i="4"/>
  <c r="K16" i="4" s="1"/>
  <c r="H16" i="3"/>
  <c r="K16" i="3" s="1"/>
  <c r="J16" i="3"/>
  <c r="O30" i="5"/>
  <c r="P29" i="5"/>
  <c r="Q29" i="4"/>
  <c r="P30" i="4"/>
  <c r="E8" i="8"/>
  <c r="H6" i="8"/>
  <c r="C8" i="8"/>
  <c r="P29" i="3"/>
  <c r="Q28" i="3"/>
  <c r="H7" i="8" l="1"/>
  <c r="P30" i="5"/>
  <c r="O31" i="5"/>
  <c r="F17" i="3"/>
  <c r="G17" i="3"/>
  <c r="H28" i="5"/>
  <c r="G28" i="5"/>
  <c r="I28" i="5" s="1"/>
  <c r="J28" i="5" s="1"/>
  <c r="P30" i="3"/>
  <c r="Q29" i="3"/>
  <c r="Q30" i="4"/>
  <c r="P31" i="4"/>
  <c r="F17" i="4"/>
  <c r="G17" i="4"/>
  <c r="I19" i="1" l="1"/>
  <c r="H29" i="5"/>
  <c r="J29" i="5"/>
  <c r="G29" i="5"/>
  <c r="I29" i="5" s="1"/>
  <c r="Q31" i="4"/>
  <c r="P32" i="4"/>
  <c r="O32" i="5"/>
  <c r="P31" i="5"/>
  <c r="J17" i="4"/>
  <c r="H17" i="4"/>
  <c r="K17" i="4" s="1"/>
  <c r="P31" i="3"/>
  <c r="Q30" i="3"/>
  <c r="H17" i="3"/>
  <c r="K17" i="3" s="1"/>
  <c r="J17" i="3"/>
  <c r="H4" i="9" l="1"/>
  <c r="I18" i="1"/>
  <c r="F18" i="3"/>
  <c r="G18" i="3"/>
  <c r="P32" i="3"/>
  <c r="Q31" i="3"/>
  <c r="P32" i="5"/>
  <c r="O33" i="5"/>
  <c r="H30" i="5"/>
  <c r="G30" i="5"/>
  <c r="I30" i="5" s="1"/>
  <c r="J30" i="5" s="1"/>
  <c r="F18" i="4"/>
  <c r="G18" i="4"/>
  <c r="Q32" i="4"/>
  <c r="P33" i="4"/>
  <c r="H17" i="1" l="1"/>
  <c r="I17" i="1" s="1"/>
  <c r="M53" i="1"/>
  <c r="M47" i="1"/>
  <c r="H46" i="9"/>
  <c r="H44" i="9"/>
  <c r="I29" i="1"/>
  <c r="H30" i="9"/>
  <c r="H29" i="9"/>
  <c r="H31" i="9"/>
  <c r="H45" i="9"/>
  <c r="H31" i="5"/>
  <c r="J31" i="5"/>
  <c r="G31" i="5"/>
  <c r="I31" i="5" s="1"/>
  <c r="P33" i="3"/>
  <c r="Q32" i="3"/>
  <c r="Q33" i="4"/>
  <c r="P34" i="4"/>
  <c r="H18" i="4"/>
  <c r="K18" i="4" s="1"/>
  <c r="J18" i="4"/>
  <c r="O34" i="5"/>
  <c r="P33" i="5"/>
  <c r="H18" i="3"/>
  <c r="K18" i="3" s="1"/>
  <c r="J18" i="3"/>
  <c r="M48" i="1" l="1"/>
  <c r="G42" i="1"/>
  <c r="F19" i="3"/>
  <c r="G19" i="3"/>
  <c r="P34" i="5"/>
  <c r="O35" i="5"/>
  <c r="G19" i="4"/>
  <c r="F19" i="4"/>
  <c r="P34" i="3"/>
  <c r="Q33" i="3"/>
  <c r="H32" i="5"/>
  <c r="J32" i="5"/>
  <c r="G32" i="5"/>
  <c r="I32" i="5" s="1"/>
  <c r="Q34" i="4"/>
  <c r="P35" i="4"/>
  <c r="H33" i="5" l="1"/>
  <c r="J33" i="5"/>
  <c r="G33" i="5"/>
  <c r="I33" i="5" s="1"/>
  <c r="Q35" i="4"/>
  <c r="P36" i="4"/>
  <c r="P35" i="3"/>
  <c r="Q34" i="3"/>
  <c r="J19" i="4"/>
  <c r="H19" i="4"/>
  <c r="K19" i="4" s="1"/>
  <c r="O36" i="5"/>
  <c r="P35" i="5"/>
  <c r="H19" i="3"/>
  <c r="K19" i="3" s="1"/>
  <c r="J19" i="3"/>
  <c r="F20" i="3" l="1"/>
  <c r="G20" i="3"/>
  <c r="P36" i="5"/>
  <c r="O37" i="5"/>
  <c r="P36" i="3"/>
  <c r="Q35" i="3"/>
  <c r="H34" i="5"/>
  <c r="G34" i="5"/>
  <c r="I34" i="5" s="1"/>
  <c r="J34" i="5" s="1"/>
  <c r="F20" i="4"/>
  <c r="G20" i="4"/>
  <c r="Q36" i="4"/>
  <c r="P37" i="4"/>
  <c r="H35" i="5" l="1"/>
  <c r="J35" i="5"/>
  <c r="G35" i="5"/>
  <c r="I35" i="5" s="1"/>
  <c r="P37" i="3"/>
  <c r="Q36" i="3"/>
  <c r="Q37" i="4"/>
  <c r="P38" i="4"/>
  <c r="J20" i="4"/>
  <c r="H20" i="4"/>
  <c r="K20" i="4" s="1"/>
  <c r="O38" i="5"/>
  <c r="P37" i="5"/>
  <c r="H20" i="3"/>
  <c r="K20" i="3" s="1"/>
  <c r="J20" i="3"/>
  <c r="F21" i="3" l="1"/>
  <c r="G21" i="3"/>
  <c r="P38" i="5"/>
  <c r="O39" i="5"/>
  <c r="P38" i="3"/>
  <c r="Q37" i="3"/>
  <c r="H36" i="5"/>
  <c r="G36" i="5"/>
  <c r="I36" i="5" s="1"/>
  <c r="J36" i="5" s="1"/>
  <c r="F21" i="4"/>
  <c r="G21" i="4"/>
  <c r="Q38" i="4"/>
  <c r="P39" i="4"/>
  <c r="H37" i="5" l="1"/>
  <c r="G37" i="5"/>
  <c r="I37" i="5" s="1"/>
  <c r="J37" i="5" s="1"/>
  <c r="P39" i="3"/>
  <c r="Q38" i="3"/>
  <c r="Q39" i="4"/>
  <c r="P40" i="4"/>
  <c r="H21" i="4"/>
  <c r="K21" i="4" s="1"/>
  <c r="J21" i="4"/>
  <c r="O40" i="5"/>
  <c r="P39" i="5"/>
  <c r="H21" i="3"/>
  <c r="K21" i="3" s="1"/>
  <c r="J21" i="3"/>
  <c r="H38" i="5" l="1"/>
  <c r="G38" i="5"/>
  <c r="I38" i="5" s="1"/>
  <c r="J38" i="5" s="1"/>
  <c r="F22" i="3"/>
  <c r="G22" i="3"/>
  <c r="P40" i="5"/>
  <c r="O41" i="5"/>
  <c r="G22" i="4"/>
  <c r="F22" i="4"/>
  <c r="P40" i="3"/>
  <c r="Q39" i="3"/>
  <c r="Q40" i="4"/>
  <c r="P41" i="4"/>
  <c r="H39" i="5" l="1"/>
  <c r="G39" i="5"/>
  <c r="I39" i="5" s="1"/>
  <c r="J39" i="5" s="1"/>
  <c r="P41" i="3"/>
  <c r="Q40" i="3"/>
  <c r="J22" i="4"/>
  <c r="H22" i="4"/>
  <c r="K22" i="4" s="1"/>
  <c r="O42" i="5"/>
  <c r="P41" i="5"/>
  <c r="H22" i="3"/>
  <c r="K22" i="3" s="1"/>
  <c r="J22" i="3"/>
  <c r="Q41" i="4"/>
  <c r="P42" i="4"/>
  <c r="H40" i="5" l="1"/>
  <c r="G40" i="5"/>
  <c r="I40" i="5" s="1"/>
  <c r="J40" i="5" s="1"/>
  <c r="F23" i="3"/>
  <c r="G23" i="3"/>
  <c r="P42" i="5"/>
  <c r="O43" i="5"/>
  <c r="P42" i="3"/>
  <c r="Q41" i="3"/>
  <c r="Q42" i="4"/>
  <c r="P43" i="4"/>
  <c r="F23" i="4"/>
  <c r="G23" i="4"/>
  <c r="H41" i="5" l="1"/>
  <c r="G41" i="5"/>
  <c r="I41" i="5" s="1"/>
  <c r="J41" i="5" s="1"/>
  <c r="J23" i="4"/>
  <c r="H23" i="4"/>
  <c r="K23" i="4" s="1"/>
  <c r="Q43" i="4"/>
  <c r="P44" i="4"/>
  <c r="O44" i="5"/>
  <c r="P43" i="5"/>
  <c r="H23" i="3"/>
  <c r="K23" i="3" s="1"/>
  <c r="J23" i="3"/>
  <c r="P43" i="3"/>
  <c r="Q42" i="3"/>
  <c r="H42" i="5" l="1"/>
  <c r="G42" i="5"/>
  <c r="I42" i="5" s="1"/>
  <c r="J42" i="5" s="1"/>
  <c r="F24" i="4"/>
  <c r="G24" i="4"/>
  <c r="P44" i="3"/>
  <c r="Q43" i="3"/>
  <c r="F24" i="3"/>
  <c r="G24" i="3"/>
  <c r="P44" i="5"/>
  <c r="O45" i="5"/>
  <c r="Q44" i="4"/>
  <c r="P45" i="4"/>
  <c r="H43" i="5" l="1"/>
  <c r="G43" i="5"/>
  <c r="I43" i="5" s="1"/>
  <c r="J43" i="5" s="1"/>
  <c r="Q45" i="4"/>
  <c r="P46" i="4"/>
  <c r="O46" i="5"/>
  <c r="P45" i="5"/>
  <c r="J24" i="4"/>
  <c r="H24" i="4"/>
  <c r="K24" i="4" s="1"/>
  <c r="H24" i="3"/>
  <c r="K24" i="3" s="1"/>
  <c r="J24" i="3"/>
  <c r="P45" i="3"/>
  <c r="Q44" i="3"/>
  <c r="H44" i="5" l="1"/>
  <c r="G44" i="5"/>
  <c r="I44" i="5" s="1"/>
  <c r="J44" i="5" s="1"/>
  <c r="Q46" i="4"/>
  <c r="P47" i="4"/>
  <c r="P46" i="3"/>
  <c r="Q45" i="3"/>
  <c r="F25" i="3"/>
  <c r="G25" i="3"/>
  <c r="P46" i="5"/>
  <c r="O47" i="5"/>
  <c r="F25" i="4"/>
  <c r="G25" i="4"/>
  <c r="H25" i="4" l="1"/>
  <c r="K25" i="4" s="1"/>
  <c r="J25" i="4"/>
  <c r="O48" i="5"/>
  <c r="P47" i="5"/>
  <c r="H25" i="3"/>
  <c r="K25" i="3" s="1"/>
  <c r="J25" i="3"/>
  <c r="P47" i="3"/>
  <c r="Q46" i="3"/>
  <c r="Q47" i="4"/>
  <c r="P48" i="4"/>
  <c r="Q48" i="4" l="1"/>
  <c r="P49" i="4"/>
  <c r="P48" i="3"/>
  <c r="Q47" i="3"/>
  <c r="F26" i="3"/>
  <c r="G26" i="3"/>
  <c r="P48" i="5"/>
  <c r="O49" i="5"/>
  <c r="G26" i="4"/>
  <c r="F26" i="4"/>
  <c r="P49" i="5" l="1"/>
  <c r="O50" i="5"/>
  <c r="J26" i="4"/>
  <c r="H26" i="4"/>
  <c r="K26" i="4" s="1"/>
  <c r="Q49" i="4"/>
  <c r="P50" i="4"/>
  <c r="H26" i="3"/>
  <c r="K26" i="3" s="1"/>
  <c r="J26" i="3"/>
  <c r="P49" i="3"/>
  <c r="Q48" i="3"/>
  <c r="P50" i="3" l="1"/>
  <c r="Q49" i="3"/>
  <c r="Q50" i="4"/>
  <c r="P51" i="4"/>
  <c r="F27" i="4"/>
  <c r="G27" i="4"/>
  <c r="P50" i="5"/>
  <c r="O51" i="5"/>
  <c r="F27" i="3"/>
  <c r="G27" i="3"/>
  <c r="H27" i="3" l="1"/>
  <c r="K27" i="3" s="1"/>
  <c r="J27" i="3"/>
  <c r="Q51" i="4"/>
  <c r="P52" i="4"/>
  <c r="O52" i="5"/>
  <c r="P51" i="5"/>
  <c r="J27" i="4"/>
  <c r="H27" i="4"/>
  <c r="K27" i="4" s="1"/>
  <c r="P51" i="3"/>
  <c r="Q50" i="3"/>
  <c r="P52" i="3" l="1"/>
  <c r="Q51" i="3"/>
  <c r="F28" i="4"/>
  <c r="G28" i="4"/>
  <c r="Q52" i="4"/>
  <c r="P53" i="4"/>
  <c r="P52" i="5"/>
  <c r="O53" i="5"/>
  <c r="F28" i="3"/>
  <c r="G28" i="3"/>
  <c r="Q53" i="4" l="1"/>
  <c r="P54" i="4"/>
  <c r="H28" i="3"/>
  <c r="K28" i="3" s="1"/>
  <c r="J28" i="3"/>
  <c r="P53" i="5"/>
  <c r="O54" i="5"/>
  <c r="J28" i="4"/>
  <c r="H28" i="4"/>
  <c r="K28" i="4" s="1"/>
  <c r="P53" i="3"/>
  <c r="Q52" i="3"/>
  <c r="F29" i="4" l="1"/>
  <c r="G29" i="4"/>
  <c r="P54" i="5"/>
  <c r="O55" i="5"/>
  <c r="Q54" i="4"/>
  <c r="P55" i="4"/>
  <c r="P54" i="3"/>
  <c r="Q53" i="3"/>
  <c r="F29" i="3"/>
  <c r="G29" i="3"/>
  <c r="H29" i="3" l="1"/>
  <c r="K29" i="3" s="1"/>
  <c r="J29" i="3"/>
  <c r="P55" i="3"/>
  <c r="Q54" i="3"/>
  <c r="Q55" i="4"/>
  <c r="P56" i="4"/>
  <c r="O56" i="5"/>
  <c r="P55" i="5"/>
  <c r="H29" i="4"/>
  <c r="K29" i="4" s="1"/>
  <c r="J29" i="4"/>
  <c r="P56" i="5" l="1"/>
  <c r="O57" i="5"/>
  <c r="Q56" i="4"/>
  <c r="P57" i="4"/>
  <c r="G30" i="4"/>
  <c r="F30" i="4"/>
  <c r="P56" i="3"/>
  <c r="Q55" i="3"/>
  <c r="F30" i="3"/>
  <c r="G30" i="3"/>
  <c r="P57" i="3" l="1"/>
  <c r="Q56" i="3"/>
  <c r="J30" i="4"/>
  <c r="H30" i="4"/>
  <c r="K30" i="4" s="1"/>
  <c r="Q57" i="4"/>
  <c r="P58" i="4"/>
  <c r="P57" i="5"/>
  <c r="O58" i="5"/>
  <c r="H30" i="3"/>
  <c r="K30" i="3" s="1"/>
  <c r="J30" i="3"/>
  <c r="G31" i="3" l="1"/>
  <c r="F31" i="3"/>
  <c r="P58" i="5"/>
  <c r="O59" i="5"/>
  <c r="Q58" i="4"/>
  <c r="P59" i="4"/>
  <c r="F31" i="4"/>
  <c r="G31" i="4"/>
  <c r="P58" i="3"/>
  <c r="Q57" i="3"/>
  <c r="J31" i="4" l="1"/>
  <c r="H31" i="4"/>
  <c r="K31" i="4" s="1"/>
  <c r="P59" i="3"/>
  <c r="Q58" i="3"/>
  <c r="Q59" i="4"/>
  <c r="P60" i="4"/>
  <c r="O60" i="5"/>
  <c r="P59" i="5"/>
  <c r="H31" i="3"/>
  <c r="K31" i="3" s="1"/>
  <c r="J31" i="3"/>
  <c r="P60" i="5" l="1"/>
  <c r="O61" i="5"/>
  <c r="Q60" i="4"/>
  <c r="P61" i="4"/>
  <c r="F32" i="4"/>
  <c r="G32" i="4"/>
  <c r="G32" i="3"/>
  <c r="F32" i="3"/>
  <c r="P60" i="3"/>
  <c r="Q59" i="3"/>
  <c r="H32" i="3" l="1"/>
  <c r="K32" i="3" s="1"/>
  <c r="J32" i="3"/>
  <c r="Q61" i="4"/>
  <c r="P62" i="4"/>
  <c r="P61" i="5"/>
  <c r="O62" i="5"/>
  <c r="P61" i="3"/>
  <c r="Q60" i="3"/>
  <c r="J32" i="4"/>
  <c r="H32" i="4"/>
  <c r="K32" i="4" s="1"/>
  <c r="P62" i="3" l="1"/>
  <c r="Q61" i="3"/>
  <c r="F33" i="4"/>
  <c r="G33" i="4"/>
  <c r="P62" i="5"/>
  <c r="O63" i="5"/>
  <c r="Q62" i="4"/>
  <c r="P63" i="4"/>
  <c r="G33" i="3"/>
  <c r="F33" i="3"/>
  <c r="Q63" i="4" l="1"/>
  <c r="P64" i="4"/>
  <c r="Q64" i="4" s="1"/>
  <c r="H33" i="3"/>
  <c r="K33" i="3" s="1"/>
  <c r="J33" i="3"/>
  <c r="O64" i="5"/>
  <c r="P64" i="5" s="1"/>
  <c r="P63" i="5"/>
  <c r="H33" i="4"/>
  <c r="K33" i="4" s="1"/>
  <c r="J33" i="4"/>
  <c r="P63" i="3"/>
  <c r="Q62" i="3"/>
  <c r="G34" i="4" l="1"/>
  <c r="F34" i="4"/>
  <c r="P64" i="3"/>
  <c r="Q64" i="3" s="1"/>
  <c r="Q63" i="3"/>
  <c r="G34" i="3"/>
  <c r="F34" i="3"/>
  <c r="H34" i="3" l="1"/>
  <c r="K34" i="3" s="1"/>
  <c r="J34" i="3"/>
  <c r="J34" i="4"/>
  <c r="H34" i="4"/>
  <c r="K34" i="4" s="1"/>
  <c r="F35" i="4" l="1"/>
  <c r="G35" i="4"/>
  <c r="G35" i="3"/>
  <c r="F35" i="3"/>
  <c r="H35" i="3" l="1"/>
  <c r="K35" i="3" s="1"/>
  <c r="J35" i="3"/>
  <c r="J35" i="4"/>
  <c r="H35" i="4"/>
  <c r="K35" i="4" s="1"/>
  <c r="F36" i="4" l="1"/>
  <c r="G36" i="4"/>
  <c r="G36" i="3"/>
  <c r="F36" i="3"/>
  <c r="H36" i="3" l="1"/>
  <c r="K36" i="3" s="1"/>
  <c r="J36" i="3"/>
  <c r="J36" i="4"/>
  <c r="H36" i="4"/>
  <c r="K36" i="4" s="1"/>
  <c r="F37" i="4" l="1"/>
  <c r="G37" i="4"/>
  <c r="G37" i="3"/>
  <c r="F37" i="3"/>
  <c r="H37" i="3" l="1"/>
  <c r="K37" i="3" s="1"/>
  <c r="J37" i="3"/>
  <c r="H37" i="4"/>
  <c r="K37" i="4" s="1"/>
  <c r="J37" i="4"/>
  <c r="G38" i="4" l="1"/>
  <c r="F38" i="4"/>
  <c r="G38" i="3"/>
  <c r="F38" i="3"/>
  <c r="J38" i="4" l="1"/>
  <c r="H38" i="4"/>
  <c r="K38" i="4" s="1"/>
  <c r="H38" i="3"/>
  <c r="K38" i="3" s="1"/>
  <c r="J38" i="3"/>
  <c r="F39" i="4" l="1"/>
  <c r="G39" i="4"/>
  <c r="G39" i="3"/>
  <c r="F39" i="3"/>
  <c r="H39" i="3" l="1"/>
  <c r="K39" i="3" s="1"/>
  <c r="J39" i="3"/>
  <c r="J39" i="4"/>
  <c r="H39" i="4"/>
  <c r="K39" i="4" s="1"/>
  <c r="F40" i="4" l="1"/>
  <c r="G40" i="4"/>
  <c r="G40" i="3"/>
  <c r="F40" i="3"/>
  <c r="H40" i="3" l="1"/>
  <c r="K40" i="3" s="1"/>
  <c r="J40" i="3"/>
  <c r="J40" i="4"/>
  <c r="H40" i="4"/>
  <c r="K40" i="4" s="1"/>
  <c r="F41" i="4" l="1"/>
  <c r="G41" i="4"/>
  <c r="G41" i="3"/>
  <c r="F41" i="3"/>
  <c r="H41" i="3" l="1"/>
  <c r="K41" i="3" s="1"/>
  <c r="J41" i="3"/>
  <c r="H41" i="4"/>
  <c r="K41" i="4" s="1"/>
  <c r="J41" i="4"/>
  <c r="G42" i="4" l="1"/>
  <c r="F42" i="4"/>
  <c r="G42" i="3"/>
  <c r="F42" i="3"/>
  <c r="H42" i="3" l="1"/>
  <c r="K42" i="3" s="1"/>
  <c r="J42" i="3"/>
  <c r="J42" i="4"/>
  <c r="H42" i="4"/>
  <c r="K42" i="4" s="1"/>
  <c r="F43" i="4" l="1"/>
  <c r="G43" i="4"/>
  <c r="G43" i="3"/>
  <c r="F43" i="3"/>
  <c r="H43" i="3" l="1"/>
  <c r="K43" i="3" s="1"/>
  <c r="J43" i="3"/>
  <c r="J43" i="4"/>
  <c r="H43" i="4"/>
  <c r="K43" i="4" s="1"/>
  <c r="F44" i="4" l="1"/>
  <c r="G44" i="4"/>
  <c r="G44" i="3"/>
  <c r="F44" i="3"/>
  <c r="H44" i="3" l="1"/>
  <c r="K44" i="3" s="1"/>
  <c r="J44" i="3"/>
  <c r="J44" i="4"/>
  <c r="H44" i="4"/>
  <c r="K44" i="4" s="1"/>
  <c r="F45" i="4" l="1"/>
  <c r="G45" i="4"/>
  <c r="G45" i="3"/>
  <c r="F45" i="3"/>
  <c r="H45" i="3" l="1"/>
  <c r="K45" i="3" s="1"/>
  <c r="J45" i="3"/>
  <c r="H45" i="4"/>
  <c r="K45" i="4" s="1"/>
  <c r="J45" i="4"/>
  <c r="G46" i="4" l="1"/>
  <c r="F46" i="4"/>
  <c r="G46" i="3"/>
  <c r="F46" i="3"/>
  <c r="H46" i="3" l="1"/>
  <c r="K46" i="3" s="1"/>
  <c r="J46" i="3"/>
  <c r="J46" i="4"/>
  <c r="H46" i="4"/>
  <c r="K46" i="4" s="1"/>
  <c r="F47" i="4" l="1"/>
  <c r="G47" i="4"/>
  <c r="G47" i="3"/>
  <c r="F47" i="3"/>
  <c r="H47" i="3" l="1"/>
  <c r="K47" i="3" s="1"/>
  <c r="J47" i="3"/>
  <c r="J47" i="4"/>
  <c r="H47" i="4"/>
  <c r="K47" i="4" s="1"/>
  <c r="F48" i="4" l="1"/>
  <c r="G48" i="4"/>
  <c r="G48" i="3"/>
  <c r="F48" i="3"/>
  <c r="H48" i="3" l="1"/>
  <c r="K48" i="3" s="1"/>
  <c r="J48" i="3"/>
  <c r="J48" i="4"/>
  <c r="H48" i="4"/>
  <c r="K48" i="4" s="1"/>
  <c r="F49" i="4" l="1"/>
  <c r="G49" i="4"/>
  <c r="G49" i="3"/>
  <c r="F49" i="3"/>
  <c r="H49" i="3" l="1"/>
  <c r="K49" i="3" s="1"/>
  <c r="J49" i="3"/>
  <c r="H49" i="4"/>
  <c r="K49" i="4" s="1"/>
  <c r="J49" i="4"/>
  <c r="G50" i="4" l="1"/>
  <c r="F50" i="4"/>
  <c r="G50" i="3"/>
  <c r="F50" i="3"/>
  <c r="H50" i="3" l="1"/>
  <c r="K50" i="3" s="1"/>
  <c r="J50" i="3"/>
  <c r="J50" i="4"/>
  <c r="H50" i="4"/>
  <c r="K50" i="4" s="1"/>
  <c r="F51" i="4" l="1"/>
  <c r="G51" i="4"/>
  <c r="G51" i="3"/>
  <c r="F51" i="3"/>
  <c r="H51" i="3" l="1"/>
  <c r="K51" i="3" s="1"/>
  <c r="J51" i="3"/>
  <c r="J51" i="4"/>
  <c r="H51" i="4"/>
  <c r="K51" i="4" s="1"/>
  <c r="F52" i="4" l="1"/>
  <c r="G52" i="4"/>
  <c r="G52" i="3"/>
  <c r="F52" i="3"/>
  <c r="H52" i="3" l="1"/>
  <c r="K52" i="3" s="1"/>
  <c r="J52" i="3"/>
  <c r="J52" i="4"/>
  <c r="H52" i="4"/>
  <c r="K52" i="4" s="1"/>
  <c r="F53" i="4" l="1"/>
  <c r="G53" i="4"/>
  <c r="G53" i="3"/>
  <c r="F53" i="3"/>
  <c r="H53" i="3" l="1"/>
  <c r="K53" i="3" s="1"/>
  <c r="J53" i="3"/>
  <c r="H53" i="4"/>
  <c r="K53" i="4" s="1"/>
  <c r="J53" i="4"/>
  <c r="G54" i="4" l="1"/>
  <c r="F54" i="4"/>
  <c r="G54" i="3"/>
  <c r="F54" i="3"/>
  <c r="H54" i="3" l="1"/>
  <c r="K54" i="3" s="1"/>
  <c r="J54" i="3"/>
  <c r="J54" i="4"/>
  <c r="H54" i="4"/>
  <c r="K54" i="4" s="1"/>
  <c r="F55" i="4" l="1"/>
  <c r="G55" i="4"/>
  <c r="G55" i="3"/>
  <c r="F55" i="3"/>
  <c r="H55" i="3" l="1"/>
  <c r="K55" i="3" s="1"/>
  <c r="J55" i="3"/>
  <c r="J55" i="4"/>
  <c r="H55" i="4"/>
  <c r="K55" i="4" s="1"/>
  <c r="F56" i="4" l="1"/>
  <c r="G56" i="4"/>
  <c r="G56" i="3"/>
  <c r="F56" i="3"/>
  <c r="H56" i="3" l="1"/>
  <c r="K56" i="3" s="1"/>
  <c r="J56" i="3"/>
  <c r="J56" i="4"/>
  <c r="H56" i="4"/>
  <c r="K56" i="4" s="1"/>
  <c r="F57" i="4" l="1"/>
  <c r="G57" i="4"/>
  <c r="G57" i="3"/>
  <c r="F57" i="3"/>
  <c r="H57" i="3" l="1"/>
  <c r="K57" i="3" s="1"/>
  <c r="J57" i="3"/>
  <c r="H57" i="4"/>
  <c r="K57" i="4" s="1"/>
  <c r="J57" i="4"/>
  <c r="G58" i="4" l="1"/>
  <c r="F58" i="4"/>
  <c r="G58" i="3"/>
  <c r="F58" i="3"/>
  <c r="H58" i="3" l="1"/>
  <c r="K58" i="3" s="1"/>
  <c r="J58" i="3"/>
  <c r="J58" i="4"/>
  <c r="H58" i="4"/>
  <c r="K58" i="4" s="1"/>
  <c r="F59" i="4" l="1"/>
  <c r="G59" i="4"/>
  <c r="G59" i="3"/>
  <c r="F59" i="3"/>
  <c r="H59" i="3" l="1"/>
  <c r="K59" i="3" s="1"/>
  <c r="J59" i="3"/>
  <c r="J59" i="4"/>
  <c r="H59" i="4"/>
  <c r="K59" i="4" s="1"/>
  <c r="F60" i="4" l="1"/>
  <c r="G60" i="4"/>
  <c r="G60" i="3"/>
  <c r="F60" i="3"/>
  <c r="H60" i="3" l="1"/>
  <c r="K60" i="3" s="1"/>
  <c r="J60" i="3"/>
  <c r="J60" i="4"/>
  <c r="H60" i="4"/>
  <c r="K60" i="4" s="1"/>
  <c r="F61" i="4" l="1"/>
  <c r="G61" i="4"/>
  <c r="G61" i="3"/>
  <c r="F61" i="3"/>
  <c r="H61" i="3" l="1"/>
  <c r="K61" i="3" s="1"/>
  <c r="J61" i="3"/>
  <c r="H61" i="4"/>
  <c r="K61" i="4" s="1"/>
  <c r="J61" i="4"/>
  <c r="G62" i="4" l="1"/>
  <c r="F62" i="4"/>
  <c r="G62" i="3"/>
  <c r="F62" i="3"/>
  <c r="H62" i="3" l="1"/>
  <c r="K62" i="3" s="1"/>
  <c r="J62" i="3"/>
  <c r="J62" i="4"/>
  <c r="H62" i="4"/>
  <c r="K62" i="4" s="1"/>
  <c r="F63" i="4" l="1"/>
  <c r="G63" i="4"/>
  <c r="G63" i="3"/>
  <c r="F63" i="3"/>
  <c r="H63" i="3" l="1"/>
  <c r="K63" i="3" s="1"/>
  <c r="J63" i="3"/>
  <c r="J63" i="4"/>
  <c r="H63" i="4"/>
  <c r="K63" i="4" s="1"/>
  <c r="F64" i="4" l="1"/>
  <c r="G64" i="4"/>
  <c r="G64" i="3"/>
  <c r="F64" i="3"/>
  <c r="H64" i="3" l="1"/>
  <c r="K64" i="3" s="1"/>
  <c r="J64" i="3"/>
  <c r="J64" i="4"/>
  <c r="H64" i="4"/>
  <c r="K64" i="4" s="1"/>
</calcChain>
</file>

<file path=xl/comments1.xml><?xml version="1.0" encoding="utf-8"?>
<comments xmlns="http://schemas.openxmlformats.org/spreadsheetml/2006/main">
  <authors>
    <author>ARKET OPS</author>
  </authors>
  <commentList>
    <comment ref="K15" authorId="0" shapeId="0">
      <text>
        <r>
          <rPr>
            <b/>
            <sz val="9"/>
            <color indexed="81"/>
            <rFont val="Tahoma"/>
            <family val="2"/>
          </rPr>
          <t>ARKET OPS:</t>
        </r>
        <r>
          <rPr>
            <sz val="9"/>
            <color indexed="81"/>
            <rFont val="Tahoma"/>
            <family val="2"/>
          </rPr>
          <t xml:space="preserve">
Pasivo que debería registrarse a Diciembre 31 de 2014
</t>
        </r>
      </text>
    </comment>
    <comment ref="P15" authorId="0" shapeId="0">
      <text>
        <r>
          <rPr>
            <b/>
            <sz val="9"/>
            <color indexed="81"/>
            <rFont val="Tahoma"/>
            <family val="2"/>
          </rPr>
          <t>ARKET OPS:</t>
        </r>
        <r>
          <rPr>
            <sz val="9"/>
            <color indexed="81"/>
            <rFont val="Tahoma"/>
            <family val="2"/>
          </rPr>
          <t xml:space="preserve">
Depreciación acumulada aproximada a Diciembre 31 de 2014
</t>
        </r>
      </text>
    </comment>
  </commentList>
</comments>
</file>

<file path=xl/comments2.xml><?xml version="1.0" encoding="utf-8"?>
<comments xmlns="http://schemas.openxmlformats.org/spreadsheetml/2006/main">
  <authors>
    <author>ARKET OPS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ARKET OPS:</t>
        </r>
        <r>
          <rPr>
            <sz val="9"/>
            <color indexed="81"/>
            <rFont val="Tahoma"/>
            <family val="2"/>
          </rPr>
          <t xml:space="preserve">
Se le da de baja al activo diferido por la convergencia a NIIF</t>
        </r>
      </text>
    </comment>
  </commentList>
</comments>
</file>

<file path=xl/sharedStrings.xml><?xml version="1.0" encoding="utf-8"?>
<sst xmlns="http://schemas.openxmlformats.org/spreadsheetml/2006/main" count="270" uniqueCount="168">
  <si>
    <t>Tasa de interés - efectiva anual</t>
  </si>
  <si>
    <t>Tasa de interés - efectiva mensual</t>
  </si>
  <si>
    <t>No.</t>
  </si>
  <si>
    <t>Vigencia desde</t>
  </si>
  <si>
    <t>Vigencia hasta</t>
  </si>
  <si>
    <t>DTF</t>
  </si>
  <si>
    <t>Trimestre anticipado</t>
  </si>
  <si>
    <t>spread</t>
  </si>
  <si>
    <t>spread 24606</t>
  </si>
  <si>
    <t>Tasa trimestral</t>
  </si>
  <si>
    <t>Efectiva anual BBVA</t>
  </si>
  <si>
    <t>Efectiva mensual BBVA</t>
  </si>
  <si>
    <t>Efectiva anual Bolivar</t>
  </si>
  <si>
    <t>Efectiva mensual Bolivar</t>
  </si>
  <si>
    <t>Fecha de inicio</t>
  </si>
  <si>
    <t>Fecha final</t>
  </si>
  <si>
    <t>Valor cánon</t>
  </si>
  <si>
    <t>intereses</t>
  </si>
  <si>
    <t>Capital</t>
  </si>
  <si>
    <t>seguro</t>
  </si>
  <si>
    <t>efectivo</t>
  </si>
  <si>
    <t>Saldo final</t>
  </si>
  <si>
    <t>Vida útil</t>
  </si>
  <si>
    <t>Depreciación acumulada</t>
  </si>
  <si>
    <t>Valor en libros</t>
  </si>
  <si>
    <t>Meses</t>
  </si>
  <si>
    <t>Valor del contrato</t>
  </si>
  <si>
    <t>Cánon extraordianario</t>
  </si>
  <si>
    <t>Valor financiado</t>
  </si>
  <si>
    <t>Opción de compra</t>
  </si>
  <si>
    <t>Canón</t>
  </si>
  <si>
    <t>Dep. mensual</t>
  </si>
  <si>
    <t>Dep acumu.</t>
  </si>
  <si>
    <t>TRANSPORTADORA ASIA S.A.S.</t>
  </si>
  <si>
    <t>ESTADO DE RESULTADOS</t>
  </si>
  <si>
    <t>DICIEMBRE 31 DE 2014</t>
  </si>
  <si>
    <t>Ventas brutas</t>
  </si>
  <si>
    <t>Devolución en ventas</t>
  </si>
  <si>
    <t>Ventas netas</t>
  </si>
  <si>
    <t>Costo del servicio prestado</t>
  </si>
  <si>
    <t>Utilidad bruta en ventas</t>
  </si>
  <si>
    <t>Gastos administrativos</t>
  </si>
  <si>
    <t>Gastos de venta</t>
  </si>
  <si>
    <t>Total gastos</t>
  </si>
  <si>
    <t>Utilidad operacional</t>
  </si>
  <si>
    <t>Gastos financieros</t>
  </si>
  <si>
    <t>Gastos extraordinarios</t>
  </si>
  <si>
    <t>Gastos no operacionales</t>
  </si>
  <si>
    <t>Financieros</t>
  </si>
  <si>
    <t>Otros ingresos</t>
  </si>
  <si>
    <t>Ingresos no operacionales</t>
  </si>
  <si>
    <t>Utilidad antes de impuestos</t>
  </si>
  <si>
    <t>Impuesto de renta y complementarios</t>
  </si>
  <si>
    <t>Utilidad de ejercicio</t>
  </si>
  <si>
    <t>NIT 811.007.864-0</t>
  </si>
  <si>
    <t>BALANCE GENERAL</t>
  </si>
  <si>
    <t>DE ENERO 1 A 31 DE DICIEMBRE DE 2014</t>
  </si>
  <si>
    <t>Activos</t>
  </si>
  <si>
    <t>Corrientes</t>
  </si>
  <si>
    <t>Caja</t>
  </si>
  <si>
    <t>Bancos</t>
  </si>
  <si>
    <t>Fondos</t>
  </si>
  <si>
    <t>Inversiones</t>
  </si>
  <si>
    <t>Cuentas por cobrar clientes</t>
  </si>
  <si>
    <t>Anticipo de impuestos</t>
  </si>
  <si>
    <t>Deudores varios</t>
  </si>
  <si>
    <t>Activos diferidos</t>
  </si>
  <si>
    <t>Fijos</t>
  </si>
  <si>
    <t>Propiedad, planta y equipo</t>
  </si>
  <si>
    <t>Depreciación</t>
  </si>
  <si>
    <t>Total activo</t>
  </si>
  <si>
    <t>Pasivos</t>
  </si>
  <si>
    <t>Obligaciones financieras</t>
  </si>
  <si>
    <t>Proveedores</t>
  </si>
  <si>
    <t>Costos y gastos por pagar</t>
  </si>
  <si>
    <t>Acreedores oficiales</t>
  </si>
  <si>
    <t>Impuestos, gravámenes y tasas</t>
  </si>
  <si>
    <t>Obligaaciones laborales</t>
  </si>
  <si>
    <t>Acreedores varios</t>
  </si>
  <si>
    <t>Otros pasivos</t>
  </si>
  <si>
    <t>Patrimonio</t>
  </si>
  <si>
    <t>Capital social</t>
  </si>
  <si>
    <t>Reserva obligatoria</t>
  </si>
  <si>
    <t>Revalorización patrimonio</t>
  </si>
  <si>
    <t>Utilidades del ejercicio</t>
  </si>
  <si>
    <t>Resultados ejercicio anteriores</t>
  </si>
  <si>
    <t>Total pasivo + patrimonio</t>
  </si>
  <si>
    <t>Diferencia</t>
  </si>
  <si>
    <t>Dep. acumulada</t>
  </si>
  <si>
    <t>Vida útil en meses</t>
  </si>
  <si>
    <t>Meses plazo/vida útil</t>
  </si>
  <si>
    <t>Seguro</t>
  </si>
  <si>
    <t>Efectivo</t>
  </si>
  <si>
    <t>Rubros</t>
  </si>
  <si>
    <t>Saldo inicial 2014</t>
  </si>
  <si>
    <t>Cuenta</t>
  </si>
  <si>
    <t>Debito</t>
  </si>
  <si>
    <t>Crédito</t>
  </si>
  <si>
    <t>Vehículo - Propiedad, plata y equipo</t>
  </si>
  <si>
    <t>Obligación financiera</t>
  </si>
  <si>
    <t>Ganancias acumuladas</t>
  </si>
  <si>
    <t>Contrato 9312</t>
  </si>
  <si>
    <t>Contrato 9311</t>
  </si>
  <si>
    <t>Contrato 24606</t>
  </si>
  <si>
    <t>Sumas iguales</t>
  </si>
  <si>
    <t>Tabla de amortización deuda</t>
  </si>
  <si>
    <t>Tabla de depreciación</t>
  </si>
  <si>
    <t>Fecha</t>
  </si>
  <si>
    <t>Débito</t>
  </si>
  <si>
    <t>Saldos NIIF PYMES</t>
  </si>
  <si>
    <t>Total activos</t>
  </si>
  <si>
    <t>Totales</t>
  </si>
  <si>
    <t>* Con base en la Sección 35- Guia de Aplicación por Primera Vez Grupo 2 NIIF para PYMES</t>
  </si>
  <si>
    <t>ajuste por errores</t>
  </si>
  <si>
    <t>ajuste por convergencia</t>
  </si>
  <si>
    <t>Comprobantes de convergencia</t>
  </si>
  <si>
    <t>*Se reconocieron lo activos bajo leasing como si siempre se hubiera aplicado la norma</t>
  </si>
  <si>
    <t>Absoluta</t>
  </si>
  <si>
    <t>Porcentual</t>
  </si>
  <si>
    <t>Variación</t>
  </si>
  <si>
    <t>Indicador</t>
  </si>
  <si>
    <t>Unidad medida</t>
  </si>
  <si>
    <t>Forma cálculo</t>
  </si>
  <si>
    <t>Interpretación</t>
  </si>
  <si>
    <t>Sentido del indicador</t>
  </si>
  <si>
    <t>Observaciones</t>
  </si>
  <si>
    <t>Liquidez</t>
  </si>
  <si>
    <t>Razón Corriente</t>
  </si>
  <si>
    <t># veces</t>
  </si>
  <si>
    <t>Por cada peso que se debe se tiene X pesos para cubrirla. indica capacidad de cubrir los pasivos en el corto plazo.</t>
  </si>
  <si>
    <t>Importancia del Activo corriente</t>
  </si>
  <si>
    <t>%</t>
  </si>
  <si>
    <t>Porcentaje de los activos que son a corto plazo.</t>
  </si>
  <si>
    <t>Rentabilidad</t>
  </si>
  <si>
    <t>Rentabilidad del activo antes de impuestos</t>
  </si>
  <si>
    <t>Cual es la ganancia generada por cada 100 pesos en activos, antes de cubrir los impuestos.</t>
  </si>
  <si>
    <t>Rentabilidad del activo neta</t>
  </si>
  <si>
    <t>Cual es la ganancia neta generada por cada 100 pesos invertidos en los activos</t>
  </si>
  <si>
    <t>Rentabilidad del patrimonio antes de impuestos</t>
  </si>
  <si>
    <t>Indica cuando gana la empresa por cada peso del patrimonio en un año antes de las obligaciones fiscales</t>
  </si>
  <si>
    <t>Indica cuanto gana la empresa por cada peso del patrimonio en un año</t>
  </si>
  <si>
    <t>SISTEMA DUPONT (ROE)</t>
  </si>
  <si>
    <t>Cuanto gana la empresa por cada peso en el patrimonio en un año.</t>
  </si>
  <si>
    <t>Veces</t>
  </si>
  <si>
    <t>Endeudamiento</t>
  </si>
  <si>
    <t>Nivel de endeudamiento</t>
  </si>
  <si>
    <t>Indica por cada peso invertido en activos, cuánto se está financiando por los acreedores empresa.</t>
  </si>
  <si>
    <t>Concentración del endeudamiento</t>
  </si>
  <si>
    <t>Este indicador da cuenta de el porcentaje de obligaciones a corto plazo con relación al total de pasivos.</t>
  </si>
  <si>
    <t>Apalancamiento total</t>
  </si>
  <si>
    <t>Número de veces en que el patrimonio de la empresa se encuentra comprometido con los acreedores por el total de obligaciones.</t>
  </si>
  <si>
    <t>Apalancamiento financiero</t>
  </si>
  <si>
    <t>Número de veces en que el patrimonio de la empresa se encuentra comprometido con los acreedores por obligaciones financieras.</t>
  </si>
  <si>
    <t>Inicial 2014</t>
  </si>
  <si>
    <t>NIIF PYMES</t>
  </si>
  <si>
    <t>Estructura de inversión</t>
  </si>
  <si>
    <t>Inversión CP</t>
  </si>
  <si>
    <t>Inversión LP</t>
  </si>
  <si>
    <t>Total</t>
  </si>
  <si>
    <t>COLGAAP</t>
  </si>
  <si>
    <t>Acreedores (endeudamiento)</t>
  </si>
  <si>
    <t>Propietarios (propiedad)</t>
  </si>
  <si>
    <t>Composición del endeudamiento</t>
  </si>
  <si>
    <t>Endeudamiento CP</t>
  </si>
  <si>
    <t>Endeudamiento LP</t>
  </si>
  <si>
    <t xml:space="preserve"> *Artículo 127-1 del Estatuto Tributario. Para la empresa aplica este artículo (en la parte tributaria) por ser pequeña empresa y cumplir los requisitos nombrados en el ET, pero con la convergencia cambia el tratamiento, por esto se le da de baja al activo diferido y se reconoce el activo fijo </t>
  </si>
  <si>
    <t>No corriente</t>
  </si>
  <si>
    <t xml:space="preserve">Estructura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</si>
</sst>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&quot;$&quot;\ #,##0_);[Red]\(&quot;$&quot;\ #,##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&quot;$&quot;#,##0.00;[Red]\-&quot;$&quot;#,##0.00"/>
    <numFmt numFmtId="165" formatCode="_-* #,##0.00_-;\-* #,##0.00_-;_-* &quot;-&quot;??_-;_-@_-"/>
    <numFmt numFmtId="166" formatCode="_(* #,##0_);_(* \(#,##0\);_(* &quot;-&quot;??_);_(@_)"/>
    <numFmt numFmtId="167" formatCode="0.000%"/>
    <numFmt numFmtId="168" formatCode="_-* #,##0_-;\-* #,##0_-;_-* &quot;-&quot;??_-;_-@_-"/>
    <numFmt numFmtId="169" formatCode="0.000"/>
    <numFmt numFmtId="170" formatCode="&quot;$&quot;#,##0"/>
    <numFmt numFmtId="171" formatCode="0.0"/>
    <numFmt numFmtId="172" formatCode="_(&quot;$&quot;\ * #,##0.000000_);_(&quot;$&quot;\ * \(#,##0.000000\);_(&quot;$&quot;\ * &quot;-&quot;??_);_(@_)"/>
    <numFmt numFmtId="173" formatCode="_(* #,##0.000_);_(* \(#,##0.000\);_(* &quot;-&quot;??_);_(@_)"/>
    <numFmt numFmtId="174" formatCode="0.00000%"/>
    <numFmt numFmtId="175" formatCode="_(&quot;$&quot;\ * #,##0_);_(&quot;$&quot;\ * \(#,##0\);_(&quot;$&quot;\ 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66" fontId="0" fillId="0" borderId="0" xfId="3" applyNumberFormat="1" applyFont="1"/>
    <xf numFmtId="14" fontId="0" fillId="4" borderId="0" xfId="0" applyNumberFormat="1" applyFill="1" applyAlignment="1">
      <alignment horizontal="left" vertical="center" wrapText="1"/>
    </xf>
    <xf numFmtId="10" fontId="0" fillId="0" borderId="0" xfId="0" applyNumberFormat="1" applyAlignment="1">
      <alignment horizontal="right" vertical="center" wrapText="1"/>
    </xf>
    <xf numFmtId="10" fontId="0" fillId="0" borderId="0" xfId="2" applyNumberFormat="1" applyFont="1"/>
    <xf numFmtId="10" fontId="0" fillId="0" borderId="0" xfId="0" applyNumberFormat="1"/>
    <xf numFmtId="167" fontId="0" fillId="2" borderId="0" xfId="2" applyNumberFormat="1" applyFont="1" applyFill="1"/>
    <xf numFmtId="10" fontId="0" fillId="3" borderId="0" xfId="0" applyNumberFormat="1" applyFill="1"/>
    <xf numFmtId="167" fontId="0" fillId="3" borderId="0" xfId="2" applyNumberFormat="1" applyFont="1" applyFill="1"/>
    <xf numFmtId="14" fontId="0" fillId="0" borderId="0" xfId="0" applyNumberFormat="1" applyAlignment="1">
      <alignment horizontal="left" vertical="center" wrapText="1"/>
    </xf>
    <xf numFmtId="14" fontId="0" fillId="0" borderId="0" xfId="0" applyNumberFormat="1" applyFill="1" applyAlignment="1">
      <alignment horizontal="left" vertical="center" wrapText="1"/>
    </xf>
    <xf numFmtId="14" fontId="0" fillId="0" borderId="0" xfId="0" applyNumberFormat="1"/>
    <xf numFmtId="166" fontId="0" fillId="0" borderId="0" xfId="0" applyNumberFormat="1"/>
    <xf numFmtId="167" fontId="0" fillId="0" borderId="0" xfId="2" applyNumberFormat="1" applyFont="1"/>
    <xf numFmtId="168" fontId="0" fillId="0" borderId="0" xfId="0" applyNumberFormat="1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Font="1"/>
    <xf numFmtId="166" fontId="1" fillId="0" borderId="0" xfId="3" applyNumberFormat="1" applyFont="1"/>
    <xf numFmtId="0" fontId="2" fillId="0" borderId="0" xfId="0" applyFont="1"/>
    <xf numFmtId="166" fontId="2" fillId="0" borderId="0" xfId="3" applyNumberFormat="1" applyFont="1"/>
    <xf numFmtId="166" fontId="2" fillId="0" borderId="0" xfId="0" applyNumberFormat="1" applyFont="1"/>
    <xf numFmtId="1" fontId="0" fillId="0" borderId="0" xfId="0" applyNumberFormat="1"/>
    <xf numFmtId="167" fontId="0" fillId="0" borderId="0" xfId="2" applyNumberFormat="1" applyFont="1" applyFill="1"/>
    <xf numFmtId="168" fontId="0" fillId="0" borderId="0" xfId="1" applyNumberFormat="1" applyFont="1"/>
    <xf numFmtId="0" fontId="2" fillId="0" borderId="1" xfId="0" applyFont="1" applyBorder="1"/>
    <xf numFmtId="168" fontId="2" fillId="0" borderId="1" xfId="1" applyNumberFormat="1" applyFont="1" applyBorder="1"/>
    <xf numFmtId="0" fontId="0" fillId="0" borderId="1" xfId="0" applyBorder="1"/>
    <xf numFmtId="168" fontId="0" fillId="0" borderId="1" xfId="1" applyNumberFormat="1" applyFont="1" applyBorder="1"/>
    <xf numFmtId="166" fontId="0" fillId="0" borderId="1" xfId="0" applyNumberFormat="1" applyBorder="1"/>
    <xf numFmtId="14" fontId="0" fillId="0" borderId="1" xfId="0" applyNumberFormat="1" applyBorder="1"/>
    <xf numFmtId="166" fontId="0" fillId="0" borderId="1" xfId="3" applyNumberFormat="1" applyFont="1" applyBorder="1"/>
    <xf numFmtId="167" fontId="0" fillId="0" borderId="1" xfId="2" applyNumberFormat="1" applyFont="1" applyBorder="1"/>
    <xf numFmtId="166" fontId="0" fillId="0" borderId="1" xfId="3" applyNumberFormat="1" applyFont="1" applyFill="1" applyBorder="1"/>
    <xf numFmtId="168" fontId="0" fillId="0" borderId="1" xfId="0" applyNumberFormat="1" applyBorder="1"/>
    <xf numFmtId="1" fontId="0" fillId="0" borderId="1" xfId="0" applyNumberFormat="1" applyBorder="1"/>
    <xf numFmtId="1" fontId="0" fillId="0" borderId="1" xfId="2" applyNumberFormat="1" applyFont="1" applyBorder="1"/>
    <xf numFmtId="1" fontId="2" fillId="0" borderId="1" xfId="0" applyNumberFormat="1" applyFont="1" applyBorder="1"/>
    <xf numFmtId="167" fontId="0" fillId="0" borderId="1" xfId="2" applyNumberFormat="1" applyFont="1" applyFill="1" applyBorder="1"/>
    <xf numFmtId="1" fontId="0" fillId="0" borderId="1" xfId="2" applyNumberFormat="1" applyFont="1" applyFill="1" applyBorder="1"/>
    <xf numFmtId="168" fontId="0" fillId="0" borderId="1" xfId="0" applyNumberFormat="1" applyFill="1" applyBorder="1"/>
    <xf numFmtId="166" fontId="0" fillId="0" borderId="1" xfId="0" applyNumberFormat="1" applyFill="1" applyBorder="1"/>
    <xf numFmtId="166" fontId="2" fillId="0" borderId="1" xfId="0" applyNumberFormat="1" applyFont="1" applyBorder="1"/>
    <xf numFmtId="166" fontId="2" fillId="0" borderId="1" xfId="3" applyNumberFormat="1" applyFont="1" applyBorder="1"/>
    <xf numFmtId="0" fontId="0" fillId="0" borderId="1" xfId="0" applyFont="1" applyBorder="1"/>
    <xf numFmtId="0" fontId="0" fillId="0" borderId="1" xfId="0" applyBorder="1" applyAlignment="1">
      <alignment horizontal="left" indent="2"/>
    </xf>
    <xf numFmtId="49" fontId="0" fillId="0" borderId="0" xfId="1" applyNumberFormat="1" applyFont="1"/>
    <xf numFmtId="3" fontId="0" fillId="0" borderId="0" xfId="0" applyNumberFormat="1"/>
    <xf numFmtId="3" fontId="2" fillId="0" borderId="1" xfId="0" applyNumberFormat="1" applyFont="1" applyBorder="1"/>
    <xf numFmtId="3" fontId="0" fillId="0" borderId="1" xfId="0" applyNumberFormat="1" applyBorder="1"/>
    <xf numFmtId="10" fontId="0" fillId="0" borderId="1" xfId="2" applyNumberFormat="1" applyFont="1" applyBorder="1"/>
    <xf numFmtId="9" fontId="0" fillId="0" borderId="1" xfId="2" applyNumberFormat="1" applyFont="1" applyBorder="1"/>
    <xf numFmtId="0" fontId="6" fillId="5" borderId="0" xfId="4" applyFont="1" applyFill="1" applyBorder="1"/>
    <xf numFmtId="0" fontId="5" fillId="5" borderId="0" xfId="4" applyFill="1"/>
    <xf numFmtId="0" fontId="6" fillId="5" borderId="9" xfId="4" applyFont="1" applyFill="1" applyBorder="1" applyAlignment="1">
      <alignment vertical="center"/>
    </xf>
    <xf numFmtId="0" fontId="6" fillId="5" borderId="9" xfId="4" applyFont="1" applyFill="1" applyBorder="1" applyAlignment="1">
      <alignment horizontal="center" vertical="center"/>
    </xf>
    <xf numFmtId="0" fontId="6" fillId="5" borderId="9" xfId="4" applyFont="1" applyFill="1" applyBorder="1"/>
    <xf numFmtId="0" fontId="10" fillId="5" borderId="10" xfId="4" applyFont="1" applyFill="1" applyBorder="1" applyAlignment="1">
      <alignment vertical="center" wrapText="1"/>
    </xf>
    <xf numFmtId="169" fontId="6" fillId="5" borderId="9" xfId="4" applyNumberFormat="1" applyFont="1" applyFill="1" applyBorder="1"/>
    <xf numFmtId="0" fontId="6" fillId="5" borderId="10" xfId="4" applyFont="1" applyFill="1" applyBorder="1" applyAlignment="1">
      <alignment vertical="center"/>
    </xf>
    <xf numFmtId="0" fontId="6" fillId="5" borderId="10" xfId="4" applyFont="1" applyFill="1" applyBorder="1" applyAlignment="1">
      <alignment horizontal="center" vertical="center"/>
    </xf>
    <xf numFmtId="0" fontId="6" fillId="5" borderId="10" xfId="4" applyFont="1" applyFill="1" applyBorder="1"/>
    <xf numFmtId="169" fontId="6" fillId="5" borderId="10" xfId="4" applyNumberFormat="1" applyFont="1" applyFill="1" applyBorder="1"/>
    <xf numFmtId="0" fontId="6" fillId="5" borderId="10" xfId="4" applyFont="1" applyFill="1" applyBorder="1" applyAlignment="1">
      <alignment vertical="center" wrapText="1"/>
    </xf>
    <xf numFmtId="10" fontId="6" fillId="5" borderId="10" xfId="4" applyNumberFormat="1" applyFont="1" applyFill="1" applyBorder="1"/>
    <xf numFmtId="170" fontId="6" fillId="5" borderId="10" xfId="4" applyNumberFormat="1" applyFont="1" applyFill="1" applyBorder="1"/>
    <xf numFmtId="0" fontId="6" fillId="5" borderId="10" xfId="4" applyFont="1" applyFill="1" applyBorder="1" applyAlignment="1">
      <alignment horizontal="center"/>
    </xf>
    <xf numFmtId="0" fontId="6" fillId="5" borderId="10" xfId="4" applyFont="1" applyFill="1" applyBorder="1" applyAlignment="1">
      <alignment wrapText="1"/>
    </xf>
    <xf numFmtId="171" fontId="6" fillId="5" borderId="10" xfId="4" applyNumberFormat="1" applyFont="1" applyFill="1" applyBorder="1"/>
    <xf numFmtId="0" fontId="11" fillId="5" borderId="10" xfId="4" applyFont="1" applyFill="1" applyBorder="1"/>
    <xf numFmtId="0" fontId="6" fillId="5" borderId="5" xfId="4" applyFont="1" applyFill="1" applyBorder="1" applyAlignment="1">
      <alignment vertical="center"/>
    </xf>
    <xf numFmtId="0" fontId="6" fillId="5" borderId="5" xfId="4" applyFont="1" applyFill="1" applyBorder="1" applyAlignment="1">
      <alignment horizontal="center" vertical="center"/>
    </xf>
    <xf numFmtId="0" fontId="6" fillId="5" borderId="5" xfId="4" applyFont="1" applyFill="1" applyBorder="1"/>
    <xf numFmtId="0" fontId="6" fillId="5" borderId="6" xfId="4" applyFont="1" applyFill="1" applyBorder="1" applyAlignment="1">
      <alignment vertical="center"/>
    </xf>
    <xf numFmtId="10" fontId="6" fillId="5" borderId="10" xfId="4" applyNumberFormat="1" applyFont="1" applyFill="1" applyBorder="1" applyAlignment="1">
      <alignment horizontal="right"/>
    </xf>
    <xf numFmtId="9" fontId="6" fillId="5" borderId="10" xfId="4" applyNumberFormat="1" applyFont="1" applyFill="1" applyBorder="1" applyAlignment="1">
      <alignment horizontal="center" vertical="center"/>
    </xf>
    <xf numFmtId="172" fontId="6" fillId="5" borderId="10" xfId="5" applyNumberFormat="1" applyFont="1" applyFill="1" applyBorder="1"/>
    <xf numFmtId="173" fontId="6" fillId="5" borderId="10" xfId="6" applyNumberFormat="1" applyFont="1" applyFill="1" applyBorder="1"/>
    <xf numFmtId="174" fontId="6" fillId="5" borderId="10" xfId="7" applyNumberFormat="1" applyFont="1" applyFill="1" applyBorder="1"/>
    <xf numFmtId="175" fontId="6" fillId="5" borderId="10" xfId="5" applyNumberFormat="1" applyFont="1" applyFill="1" applyBorder="1"/>
    <xf numFmtId="0" fontId="6" fillId="5" borderId="11" xfId="4" applyFont="1" applyFill="1" applyBorder="1" applyAlignment="1">
      <alignment vertical="center"/>
    </xf>
    <xf numFmtId="0" fontId="6" fillId="5" borderId="1" xfId="4" applyFont="1" applyFill="1" applyBorder="1" applyAlignment="1">
      <alignment vertical="center"/>
    </xf>
    <xf numFmtId="0" fontId="6" fillId="5" borderId="1" xfId="4" applyFont="1" applyFill="1" applyBorder="1" applyAlignment="1">
      <alignment horizontal="center" vertical="center"/>
    </xf>
    <xf numFmtId="0" fontId="6" fillId="5" borderId="1" xfId="4" applyFont="1" applyFill="1" applyBorder="1"/>
    <xf numFmtId="43" fontId="6" fillId="5" borderId="8" xfId="6" applyFont="1" applyFill="1" applyBorder="1" applyAlignment="1">
      <alignment horizontal="center" vertical="center"/>
    </xf>
    <xf numFmtId="169" fontId="6" fillId="5" borderId="10" xfId="4" applyNumberFormat="1" applyFont="1" applyFill="1" applyBorder="1" applyAlignment="1">
      <alignment horizontal="center"/>
    </xf>
    <xf numFmtId="0" fontId="6" fillId="5" borderId="6" xfId="4" applyFont="1" applyFill="1" applyBorder="1" applyAlignment="1">
      <alignment horizontal="center" vertical="center"/>
    </xf>
    <xf numFmtId="0" fontId="5" fillId="5" borderId="1" xfId="4" applyFill="1" applyBorder="1" applyAlignment="1">
      <alignment horizontal="center" vertical="center"/>
    </xf>
    <xf numFmtId="0" fontId="5" fillId="5" borderId="1" xfId="4" applyFill="1" applyBorder="1"/>
    <xf numFmtId="10" fontId="0" fillId="5" borderId="1" xfId="7" applyNumberFormat="1" applyFont="1" applyFill="1" applyBorder="1"/>
    <xf numFmtId="0" fontId="7" fillId="0" borderId="0" xfId="0" applyFont="1" applyFill="1" applyBorder="1" applyAlignment="1"/>
    <xf numFmtId="0" fontId="7" fillId="0" borderId="0" xfId="0" applyFont="1" applyFill="1" applyBorder="1"/>
    <xf numFmtId="0" fontId="6" fillId="0" borderId="0" xfId="0" applyFont="1" applyFill="1" applyBorder="1" applyAlignment="1"/>
    <xf numFmtId="10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Fill="1" applyBorder="1"/>
    <xf numFmtId="0" fontId="6" fillId="0" borderId="1" xfId="0" applyFont="1" applyFill="1" applyBorder="1" applyAlignment="1"/>
    <xf numFmtId="10" fontId="6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165" fontId="0" fillId="0" borderId="1" xfId="1" applyNumberFormat="1" applyFont="1" applyBorder="1"/>
    <xf numFmtId="165" fontId="0" fillId="0" borderId="1" xfId="0" applyNumberFormat="1" applyBorder="1"/>
    <xf numFmtId="0" fontId="7" fillId="6" borderId="5" xfId="4" applyFont="1" applyFill="1" applyBorder="1"/>
    <xf numFmtId="0" fontId="7" fillId="6" borderId="5" xfId="4" applyFont="1" applyFill="1" applyBorder="1" applyAlignment="1">
      <alignment wrapText="1"/>
    </xf>
    <xf numFmtId="0" fontId="7" fillId="6" borderId="5" xfId="4" applyFont="1" applyFill="1" applyBorder="1" applyAlignment="1">
      <alignment horizontal="left" wrapText="1"/>
    </xf>
    <xf numFmtId="0" fontId="8" fillId="6" borderId="6" xfId="4" applyFont="1" applyFill="1" applyBorder="1" applyAlignment="1">
      <alignment vertical="center"/>
    </xf>
    <xf numFmtId="0" fontId="8" fillId="6" borderId="7" xfId="4" applyFont="1" applyFill="1" applyBorder="1"/>
    <xf numFmtId="0" fontId="9" fillId="6" borderId="7" xfId="4" applyFont="1" applyFill="1" applyBorder="1"/>
    <xf numFmtId="0" fontId="9" fillId="6" borderId="8" xfId="4" applyFont="1" applyFill="1" applyBorder="1"/>
    <xf numFmtId="0" fontId="7" fillId="6" borderId="6" xfId="4" applyFont="1" applyFill="1" applyBorder="1" applyAlignment="1">
      <alignment vertical="center"/>
    </xf>
    <xf numFmtId="0" fontId="6" fillId="6" borderId="7" xfId="4" applyFont="1" applyFill="1" applyBorder="1" applyAlignment="1">
      <alignment horizontal="center" vertical="center"/>
    </xf>
    <xf numFmtId="0" fontId="6" fillId="6" borderId="7" xfId="4" applyFont="1" applyFill="1" applyBorder="1"/>
    <xf numFmtId="0" fontId="6" fillId="6" borderId="8" xfId="4" applyFont="1" applyFill="1" applyBorder="1"/>
    <xf numFmtId="0" fontId="6" fillId="6" borderId="10" xfId="4" applyFont="1" applyFill="1" applyBorder="1"/>
    <xf numFmtId="14" fontId="0" fillId="6" borderId="1" xfId="0" applyNumberFormat="1" applyFill="1" applyBorder="1"/>
    <xf numFmtId="0" fontId="0" fillId="6" borderId="1" xfId="0" applyFill="1" applyBorder="1"/>
    <xf numFmtId="166" fontId="0" fillId="6" borderId="1" xfId="3" applyNumberFormat="1" applyFont="1" applyFill="1" applyBorder="1"/>
    <xf numFmtId="167" fontId="0" fillId="6" borderId="1" xfId="2" applyNumberFormat="1" applyFont="1" applyFill="1" applyBorder="1"/>
    <xf numFmtId="1" fontId="0" fillId="6" borderId="1" xfId="2" applyNumberFormat="1" applyFont="1" applyFill="1" applyBorder="1"/>
    <xf numFmtId="168" fontId="0" fillId="6" borderId="1" xfId="0" applyNumberFormat="1" applyFill="1" applyBorder="1"/>
    <xf numFmtId="166" fontId="0" fillId="6" borderId="1" xfId="0" applyNumberFormat="1" applyFill="1" applyBorder="1"/>
    <xf numFmtId="0" fontId="0" fillId="6" borderId="0" xfId="0" applyFill="1" applyAlignment="1">
      <alignment horizontal="center" vertical="center" wrapText="1"/>
    </xf>
    <xf numFmtId="10" fontId="0" fillId="6" borderId="0" xfId="0" applyNumberFormat="1" applyFill="1"/>
    <xf numFmtId="167" fontId="0" fillId="6" borderId="0" xfId="2" applyNumberFormat="1" applyFont="1" applyFill="1"/>
    <xf numFmtId="14" fontId="0" fillId="6" borderId="0" xfId="0" applyNumberForma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8" fontId="2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7" fillId="6" borderId="12" xfId="4" applyFont="1" applyFill="1" applyBorder="1" applyAlignment="1">
      <alignment horizontal="left"/>
    </xf>
    <xf numFmtId="0" fontId="5" fillId="6" borderId="0" xfId="4" applyFill="1" applyBorder="1"/>
  </cellXfs>
  <cellStyles count="8">
    <cellStyle name="Millares" xfId="1" builtinId="3"/>
    <cellStyle name="Millares 2" xfId="3"/>
    <cellStyle name="Millares 3" xfId="6"/>
    <cellStyle name="Moneda 2" xfId="5"/>
    <cellStyle name="Normal" xfId="0" builtinId="0"/>
    <cellStyle name="Normal 2" xfId="4"/>
    <cellStyle name="Porcentaje" xfId="2" builtinId="5"/>
    <cellStyle name="Porcentaje 2" xfId="7"/>
  </cellStyles>
  <dxfs count="1">
    <dxf>
      <fill>
        <patternFill patternType="solid">
          <fgColor rgb="FF8064A2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Estructura de inversión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'Hoja de trabajo de conversión'!$K$41</c:f>
              <c:strCache>
                <c:ptCount val="1"/>
                <c:pt idx="0">
                  <c:v>Inversión CP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'Hoja de trabajo de conversión'!$L$40:$M$40</c:f>
              <c:strCache>
                <c:ptCount val="2"/>
                <c:pt idx="0">
                  <c:v>COLGAAP</c:v>
                </c:pt>
                <c:pt idx="1">
                  <c:v>NIIF PYMES</c:v>
                </c:pt>
              </c:strCache>
            </c:strRef>
          </c:cat>
          <c:val>
            <c:numRef>
              <c:f>'Hoja de trabajo de conversión'!$L$41:$M$41</c:f>
              <c:numCache>
                <c:formatCode>0.00%</c:formatCode>
                <c:ptCount val="2"/>
                <c:pt idx="0">
                  <c:v>0.63975916248548559</c:v>
                </c:pt>
                <c:pt idx="1">
                  <c:v>0.53270407085899674</c:v>
                </c:pt>
              </c:numCache>
            </c:numRef>
          </c:val>
        </c:ser>
        <c:ser>
          <c:idx val="1"/>
          <c:order val="1"/>
          <c:tx>
            <c:strRef>
              <c:f>'Hoja de trabajo de conversión'!$K$42</c:f>
              <c:strCache>
                <c:ptCount val="1"/>
                <c:pt idx="0">
                  <c:v>Inversión LP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'Hoja de trabajo de conversión'!$L$40:$M$40</c:f>
              <c:strCache>
                <c:ptCount val="2"/>
                <c:pt idx="0">
                  <c:v>COLGAAP</c:v>
                </c:pt>
                <c:pt idx="1">
                  <c:v>NIIF PYMES</c:v>
                </c:pt>
              </c:strCache>
            </c:strRef>
          </c:cat>
          <c:val>
            <c:numRef>
              <c:f>'Hoja de trabajo de conversión'!$L$42:$M$42</c:f>
              <c:numCache>
                <c:formatCode>0.00%</c:formatCode>
                <c:ptCount val="2"/>
                <c:pt idx="0">
                  <c:v>0.36024083751451441</c:v>
                </c:pt>
                <c:pt idx="1">
                  <c:v>0.46729592914100332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5863472"/>
        <c:axId val="205865152"/>
      </c:barChart>
      <c:catAx>
        <c:axId val="20586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865152"/>
        <c:crosses val="autoZero"/>
        <c:auto val="1"/>
        <c:lblAlgn val="ctr"/>
        <c:lblOffset val="100"/>
        <c:noMultiLvlLbl val="0"/>
      </c:catAx>
      <c:valAx>
        <c:axId val="20586515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20586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Composición</a:t>
            </a:r>
            <a:r>
              <a:rPr lang="es-CO" baseline="0"/>
              <a:t> del endeudamiento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'Hoja de trabajo de conversión'!$K$51</c:f>
              <c:strCache>
                <c:ptCount val="1"/>
                <c:pt idx="0">
                  <c:v>Endeudamiento CP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'Hoja de trabajo de conversión'!$L$50:$M$50</c:f>
              <c:strCache>
                <c:ptCount val="2"/>
                <c:pt idx="0">
                  <c:v>COLGAAP</c:v>
                </c:pt>
                <c:pt idx="1">
                  <c:v>NIIF PYMES</c:v>
                </c:pt>
              </c:strCache>
            </c:strRef>
          </c:cat>
          <c:val>
            <c:numRef>
              <c:f>'Hoja de trabajo de conversión'!$L$51:$M$51</c:f>
              <c:numCache>
                <c:formatCode>0.00%</c:formatCode>
                <c:ptCount val="2"/>
                <c:pt idx="0">
                  <c:v>1</c:v>
                </c:pt>
                <c:pt idx="1">
                  <c:v>0.80047759928182871</c:v>
                </c:pt>
              </c:numCache>
            </c:numRef>
          </c:val>
        </c:ser>
        <c:ser>
          <c:idx val="1"/>
          <c:order val="1"/>
          <c:tx>
            <c:strRef>
              <c:f>'Hoja de trabajo de conversión'!$K$52</c:f>
              <c:strCache>
                <c:ptCount val="1"/>
                <c:pt idx="0">
                  <c:v>Endeudamiento LP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'Hoja de trabajo de conversión'!$L$50:$M$50</c:f>
              <c:strCache>
                <c:ptCount val="2"/>
                <c:pt idx="0">
                  <c:v>COLGAAP</c:v>
                </c:pt>
                <c:pt idx="1">
                  <c:v>NIIF PYMES</c:v>
                </c:pt>
              </c:strCache>
            </c:strRef>
          </c:cat>
          <c:val>
            <c:numRef>
              <c:f>'Hoja de trabajo de conversión'!$L$52:$M$52</c:f>
              <c:numCache>
                <c:formatCode>0.00%</c:formatCode>
                <c:ptCount val="2"/>
                <c:pt idx="0">
                  <c:v>0</c:v>
                </c:pt>
                <c:pt idx="1">
                  <c:v>0.19952240071817134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869072"/>
        <c:axId val="205869632"/>
      </c:barChart>
      <c:catAx>
        <c:axId val="20586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869632"/>
        <c:crosses val="autoZero"/>
        <c:auto val="1"/>
        <c:lblAlgn val="ctr"/>
        <c:lblOffset val="100"/>
        <c:noMultiLvlLbl val="0"/>
      </c:catAx>
      <c:valAx>
        <c:axId val="20586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86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Estructura</a:t>
            </a:r>
            <a:r>
              <a:rPr lang="es-CO" baseline="0"/>
              <a:t> financiera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'Hoja de trabajo de conversión'!$K$46</c:f>
              <c:strCache>
                <c:ptCount val="1"/>
                <c:pt idx="0">
                  <c:v>Acreedores (endeudamiento)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'Hoja de trabajo de conversión'!$L$45:$M$45</c:f>
              <c:strCache>
                <c:ptCount val="2"/>
                <c:pt idx="0">
                  <c:v>COLGAAP</c:v>
                </c:pt>
                <c:pt idx="1">
                  <c:v>NIIF PYMES</c:v>
                </c:pt>
              </c:strCache>
            </c:strRef>
          </c:cat>
          <c:val>
            <c:numRef>
              <c:f>'Hoja de trabajo de conversión'!$L$46:$M$46</c:f>
              <c:numCache>
                <c:formatCode>0.00%</c:formatCode>
                <c:ptCount val="2"/>
                <c:pt idx="0">
                  <c:v>0.66183536120899999</c:v>
                </c:pt>
                <c:pt idx="1">
                  <c:v>0.70561879817269157</c:v>
                </c:pt>
              </c:numCache>
            </c:numRef>
          </c:val>
        </c:ser>
        <c:ser>
          <c:idx val="1"/>
          <c:order val="1"/>
          <c:tx>
            <c:strRef>
              <c:f>'Hoja de trabajo de conversión'!$K$47</c:f>
              <c:strCache>
                <c:ptCount val="1"/>
                <c:pt idx="0">
                  <c:v>Propietarios (propiedad)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'Hoja de trabajo de conversión'!$L$45:$M$45</c:f>
              <c:strCache>
                <c:ptCount val="2"/>
                <c:pt idx="0">
                  <c:v>COLGAAP</c:v>
                </c:pt>
                <c:pt idx="1">
                  <c:v>NIIF PYMES</c:v>
                </c:pt>
              </c:strCache>
            </c:strRef>
          </c:cat>
          <c:val>
            <c:numRef>
              <c:f>'Hoja de trabajo de conversión'!$L$47:$M$47</c:f>
              <c:numCache>
                <c:formatCode>0.00%</c:formatCode>
                <c:ptCount val="2"/>
                <c:pt idx="0">
                  <c:v>0.33816463879100001</c:v>
                </c:pt>
                <c:pt idx="1">
                  <c:v>0.29438120182730837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9444912"/>
        <c:axId val="209445472"/>
      </c:barChart>
      <c:catAx>
        <c:axId val="20944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9445472"/>
        <c:crosses val="autoZero"/>
        <c:auto val="1"/>
        <c:lblAlgn val="ctr"/>
        <c:lblOffset val="100"/>
        <c:noMultiLvlLbl val="0"/>
      </c:catAx>
      <c:valAx>
        <c:axId val="20944547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20944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46</xdr:row>
      <xdr:rowOff>9525</xdr:rowOff>
    </xdr:from>
    <xdr:to>
      <xdr:col>4</xdr:col>
      <xdr:colOff>9525</xdr:colOff>
      <xdr:row>57</xdr:row>
      <xdr:rowOff>33336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466725</xdr:colOff>
      <xdr:row>58</xdr:row>
      <xdr:rowOff>80962</xdr:rowOff>
    </xdr:from>
    <xdr:to>
      <xdr:col>3</xdr:col>
      <xdr:colOff>838200</xdr:colOff>
      <xdr:row>72</xdr:row>
      <xdr:rowOff>157162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123825</xdr:colOff>
      <xdr:row>45</xdr:row>
      <xdr:rowOff>176212</xdr:rowOff>
    </xdr:from>
    <xdr:to>
      <xdr:col>8</xdr:col>
      <xdr:colOff>38100</xdr:colOff>
      <xdr:row>57</xdr:row>
      <xdr:rowOff>66675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756525" y="1005417"/>
    <xdr:ext cx="152400" cy="190500"/>
    <xdr:pic>
      <xdr:nvPicPr>
        <xdr:cNvPr id="4" name="image0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56525" y="1005417"/>
          <a:ext cx="152400" cy="190500"/>
        </a:xfrm>
        <a:prstGeom prst="rect">
          <a:avLst/>
        </a:prstGeom>
        <a:noFill/>
      </xdr:spPr>
    </xdr:pic>
    <xdr:clientData fLocksWithSheet="0"/>
  </xdr:absoluteAnchor>
  <xdr:absoluteAnchor>
    <xdr:pos x="7760758" y="16860308"/>
    <xdr:ext cx="152400" cy="190500"/>
    <xdr:pic>
      <xdr:nvPicPr>
        <xdr:cNvPr id="6" name="image0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60758" y="16860308"/>
          <a:ext cx="152400" cy="190500"/>
        </a:xfrm>
        <a:prstGeom prst="rect">
          <a:avLst/>
        </a:prstGeom>
        <a:noFill/>
      </xdr:spPr>
    </xdr:pic>
    <xdr:clientData fLocksWithSheet="0"/>
  </xdr:absoluteAnchor>
  <xdr:absoluteAnchor>
    <xdr:pos x="7739591" y="17352434"/>
    <xdr:ext cx="152400" cy="190500"/>
    <xdr:pic>
      <xdr:nvPicPr>
        <xdr:cNvPr id="7" name="image0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39591" y="17352434"/>
          <a:ext cx="152400" cy="190500"/>
        </a:xfrm>
        <a:prstGeom prst="rect">
          <a:avLst/>
        </a:prstGeom>
        <a:noFill/>
      </xdr:spPr>
    </xdr:pic>
    <xdr:clientData fLocksWithSheet="0"/>
  </xdr:absoluteAnchor>
  <xdr:absoluteAnchor>
    <xdr:pos x="7750176" y="17948275"/>
    <xdr:ext cx="152400" cy="190500"/>
    <xdr:pic>
      <xdr:nvPicPr>
        <xdr:cNvPr id="9" name="image0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50176" y="17948275"/>
          <a:ext cx="152400" cy="190500"/>
        </a:xfrm>
        <a:prstGeom prst="rect">
          <a:avLst/>
        </a:prstGeom>
        <a:noFill/>
      </xdr:spPr>
    </xdr:pic>
    <xdr:clientData fLocksWithSheet="0"/>
  </xdr:absoluteAnchor>
  <xdr:absoluteAnchor>
    <xdr:pos x="7736416" y="18444634"/>
    <xdr:ext cx="152400" cy="190500"/>
    <xdr:pic>
      <xdr:nvPicPr>
        <xdr:cNvPr id="10" name="image0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36416" y="18444634"/>
          <a:ext cx="152400" cy="190500"/>
        </a:xfrm>
        <a:prstGeom prst="rect">
          <a:avLst/>
        </a:prstGeom>
        <a:noFill/>
      </xdr:spPr>
    </xdr:pic>
    <xdr:clientData fLocksWithSheet="0"/>
  </xdr:absoluteAnchor>
  <xdr:absoluteAnchor>
    <xdr:pos x="7732183" y="15841134"/>
    <xdr:ext cx="152400" cy="190500"/>
    <xdr:pic>
      <xdr:nvPicPr>
        <xdr:cNvPr id="22" name="image0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32183" y="15841134"/>
          <a:ext cx="152400" cy="190500"/>
        </a:xfrm>
        <a:prstGeom prst="rect">
          <a:avLst/>
        </a:prstGeom>
        <a:noFill/>
      </xdr:spPr>
    </xdr:pic>
    <xdr:clientData fLocksWithSheet="0"/>
  </xdr:absoluteAnchor>
  <xdr:absoluteAnchor>
    <xdr:pos x="7742767" y="16345958"/>
    <xdr:ext cx="152400" cy="190500"/>
    <xdr:pic>
      <xdr:nvPicPr>
        <xdr:cNvPr id="23" name="image0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42767" y="16345958"/>
          <a:ext cx="152400" cy="190500"/>
        </a:xfrm>
        <a:prstGeom prst="rect">
          <a:avLst/>
        </a:prstGeom>
        <a:noFill/>
      </xdr:spPr>
    </xdr:pic>
    <xdr:clientData fLocksWithSheet="0"/>
  </xdr:absoluteAnchor>
  <xdr:oneCellAnchor>
    <xdr:from>
      <xdr:col>3</xdr:col>
      <xdr:colOff>201083</xdr:colOff>
      <xdr:row>3</xdr:row>
      <xdr:rowOff>169333</xdr:rowOff>
    </xdr:from>
    <xdr:ext cx="1971675" cy="4630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98 CuadroTexto"/>
            <xdr:cNvSpPr txBox="1"/>
          </xdr:nvSpPr>
          <xdr:spPr>
            <a:xfrm>
              <a:off x="3039533" y="931333"/>
              <a:ext cx="1971675" cy="4630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𝐴𝑐𝑡𝑖𝑣𝑜</m:t>
                        </m:r>
                        <m:r>
                          <a:rPr lang="es-CO" sz="1100" b="0" i="1">
                            <a:latin typeface="Cambria Math"/>
                          </a:rPr>
                          <m:t> </m:t>
                        </m:r>
                        <m:r>
                          <a:rPr lang="es-CO" sz="1100" b="0" i="1">
                            <a:latin typeface="Cambria Math"/>
                          </a:rPr>
                          <m:t>𝐶𝑡𝑒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𝑃𝑎𝑠𝑖𝑣𝑜</m:t>
                        </m:r>
                        <m:r>
                          <a:rPr lang="es-CO" sz="1100" b="0" i="1">
                            <a:latin typeface="Cambria Math"/>
                          </a:rPr>
                          <m:t> </m:t>
                        </m:r>
                        <m:r>
                          <a:rPr lang="es-CO" sz="1100" b="0" i="1">
                            <a:latin typeface="Cambria Math"/>
                          </a:rPr>
                          <m:t>𝐶𝑡𝑒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7" name="98 CuadroTexto"/>
            <xdr:cNvSpPr txBox="1"/>
          </xdr:nvSpPr>
          <xdr:spPr>
            <a:xfrm>
              <a:off x="3039533" y="931333"/>
              <a:ext cx="1971675" cy="4630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(</a:t>
              </a:r>
              <a:r>
                <a:rPr lang="es-CO" sz="1100" b="0" i="0">
                  <a:latin typeface="Cambria Math"/>
                </a:rPr>
                <a:t>𝐴𝑐𝑡𝑖𝑣𝑜 𝐶𝑡𝑒</a:t>
              </a:r>
              <a:r>
                <a:rPr lang="es-CO" sz="1100" b="0" i="0">
                  <a:latin typeface="Cambria Math" panose="02040503050406030204" pitchFamily="18" charset="0"/>
                </a:rPr>
                <a:t>)/(</a:t>
              </a:r>
              <a:r>
                <a:rPr lang="es-CO" sz="1100" b="0" i="0">
                  <a:latin typeface="Cambria Math"/>
                </a:rPr>
                <a:t>𝑃𝑎𝑠𝑖𝑣𝑜 𝐶𝑡𝑒</a:t>
              </a:r>
              <a:r>
                <a:rPr lang="es-CO" sz="1100" b="0" i="0">
                  <a:latin typeface="Cambria Math" panose="02040503050406030204" pitchFamily="18" charset="0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3</xdr:col>
      <xdr:colOff>57150</xdr:colOff>
      <xdr:row>5</xdr:row>
      <xdr:rowOff>19050</xdr:rowOff>
    </xdr:from>
    <xdr:ext cx="1971675" cy="4630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" name="100 CuadroTexto"/>
            <xdr:cNvSpPr txBox="1"/>
          </xdr:nvSpPr>
          <xdr:spPr>
            <a:xfrm>
              <a:off x="2895600" y="2495550"/>
              <a:ext cx="1971675" cy="4630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𝐴𝑐𝑡𝑖𝑣𝑜</m:t>
                        </m:r>
                        <m:r>
                          <a:rPr lang="es-CO" sz="1100" b="0" i="1">
                            <a:latin typeface="Cambria Math"/>
                          </a:rPr>
                          <m:t> </m:t>
                        </m:r>
                        <m:r>
                          <a:rPr lang="es-CO" sz="1100" b="0" i="1">
                            <a:latin typeface="Cambria Math"/>
                          </a:rPr>
                          <m:t>𝐶𝑡𝑒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𝐴𝑐𝑡𝑖𝑣𝑜</m:t>
                        </m:r>
                        <m:r>
                          <a:rPr lang="es-CO" sz="1100" b="0" i="1">
                            <a:latin typeface="Cambria Math"/>
                          </a:rPr>
                          <m:t> </m:t>
                        </m:r>
                        <m:r>
                          <a:rPr lang="es-CO" sz="1100" b="0" i="1">
                            <a:latin typeface="Cambria Math"/>
                          </a:rPr>
                          <m:t>𝑡𝑜𝑡𝑎𝑙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9" name="100 CuadroTexto"/>
            <xdr:cNvSpPr txBox="1"/>
          </xdr:nvSpPr>
          <xdr:spPr>
            <a:xfrm>
              <a:off x="2895600" y="2495550"/>
              <a:ext cx="1971675" cy="4630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(</a:t>
              </a:r>
              <a:r>
                <a:rPr lang="es-CO" sz="1100" b="0" i="0">
                  <a:latin typeface="Cambria Math"/>
                </a:rPr>
                <a:t>𝐴𝑐𝑡𝑖𝑣𝑜 𝐶𝑡𝑒</a:t>
              </a:r>
              <a:r>
                <a:rPr lang="es-CO" sz="1100" b="0" i="0">
                  <a:latin typeface="Cambria Math" panose="02040503050406030204" pitchFamily="18" charset="0"/>
                </a:rPr>
                <a:t>)/(</a:t>
              </a:r>
              <a:r>
                <a:rPr lang="es-CO" sz="1100" b="0" i="0">
                  <a:latin typeface="Cambria Math"/>
                </a:rPr>
                <a:t>𝐴𝑐𝑡𝑖𝑣𝑜 𝑡𝑜𝑡𝑎𝑙</a:t>
              </a:r>
              <a:r>
                <a:rPr lang="es-CO" sz="1100" b="0" i="0">
                  <a:latin typeface="Cambria Math" panose="02040503050406030204" pitchFamily="18" charset="0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3</xdr:col>
      <xdr:colOff>9525</xdr:colOff>
      <xdr:row>27</xdr:row>
      <xdr:rowOff>5876</xdr:rowOff>
    </xdr:from>
    <xdr:ext cx="1971675" cy="4630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3" name="114 CuadroTexto"/>
            <xdr:cNvSpPr txBox="1"/>
          </xdr:nvSpPr>
          <xdr:spPr>
            <a:xfrm>
              <a:off x="2847975" y="16188851"/>
              <a:ext cx="1971675" cy="4630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𝑈𝑡𝑖𝑙𝑖𝑑𝑎𝑑</m:t>
                        </m:r>
                        <m:r>
                          <a:rPr lang="es-CO" sz="1100" b="0" i="1">
                            <a:latin typeface="Cambria Math"/>
                          </a:rPr>
                          <m:t> </m:t>
                        </m:r>
                        <m:r>
                          <a:rPr lang="es-CO" sz="1100" b="0" i="1">
                            <a:latin typeface="Cambria Math"/>
                          </a:rPr>
                          <m:t>𝑛𝑒𝑡𝑎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𝐴𝑐𝑡𝑖𝑣𝑜</m:t>
                        </m:r>
                        <m:r>
                          <a:rPr lang="es-CO" sz="1100" b="0" i="1">
                            <a:latin typeface="Cambria Math"/>
                          </a:rPr>
                          <m:t> </m:t>
                        </m:r>
                        <m:r>
                          <a:rPr lang="es-CO" sz="1100" b="0" i="1">
                            <a:latin typeface="Cambria Math"/>
                          </a:rPr>
                          <m:t>𝑡𝑜𝑡𝑎𝑙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3" name="114 CuadroTexto"/>
            <xdr:cNvSpPr txBox="1"/>
          </xdr:nvSpPr>
          <xdr:spPr>
            <a:xfrm>
              <a:off x="2847975" y="16188851"/>
              <a:ext cx="1971675" cy="4630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(</a:t>
              </a:r>
              <a:r>
                <a:rPr lang="es-CO" sz="1100" b="0" i="0">
                  <a:latin typeface="Cambria Math"/>
                </a:rPr>
                <a:t>𝑈𝑡𝑖𝑙𝑖𝑑𝑎𝑑 𝑛𝑒𝑡𝑎</a:t>
              </a:r>
              <a:r>
                <a:rPr lang="es-CO" sz="1100" b="0" i="0">
                  <a:latin typeface="Cambria Math" panose="02040503050406030204" pitchFamily="18" charset="0"/>
                </a:rPr>
                <a:t>)/(</a:t>
              </a:r>
              <a:r>
                <a:rPr lang="es-CO" sz="1100" b="0" i="0">
                  <a:latin typeface="Cambria Math"/>
                </a:rPr>
                <a:t>𝐴𝑐𝑡𝑖𝑣𝑜 𝑡𝑜𝑡𝑎𝑙</a:t>
              </a:r>
              <a:r>
                <a:rPr lang="es-CO" sz="1100" b="0" i="0">
                  <a:latin typeface="Cambria Math" panose="02040503050406030204" pitchFamily="18" charset="0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3</xdr:col>
      <xdr:colOff>0</xdr:colOff>
      <xdr:row>27</xdr:row>
      <xdr:rowOff>510701</xdr:rowOff>
    </xdr:from>
    <xdr:ext cx="1971675" cy="4630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4" name="115 CuadroTexto"/>
            <xdr:cNvSpPr txBox="1"/>
          </xdr:nvSpPr>
          <xdr:spPr>
            <a:xfrm>
              <a:off x="2838450" y="16693676"/>
              <a:ext cx="1971675" cy="4630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𝑈𝐴𝐼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𝑃𝑎𝑡𝑟𝑖𝑚𝑜𝑛𝑖𝑜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4" name="115 CuadroTexto"/>
            <xdr:cNvSpPr txBox="1"/>
          </xdr:nvSpPr>
          <xdr:spPr>
            <a:xfrm>
              <a:off x="2838450" y="16693676"/>
              <a:ext cx="1971675" cy="4630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es-CO" sz="1100" b="0" i="0">
                  <a:latin typeface="Cambria Math"/>
                </a:rPr>
                <a:t>𝑈𝐴𝐼</a:t>
              </a:r>
              <a:r>
                <a:rPr lang="es-CO" sz="1100" b="0" i="0">
                  <a:latin typeface="Cambria Math" panose="02040503050406030204" pitchFamily="18" charset="0"/>
                </a:rPr>
                <a:t>/</a:t>
              </a:r>
              <a:r>
                <a:rPr lang="es-CO" sz="1100" b="0" i="0">
                  <a:latin typeface="Cambria Math"/>
                </a:rPr>
                <a:t>𝑃𝑎𝑡𝑟𝑖𝑚𝑜𝑛𝑖𝑜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3</xdr:col>
      <xdr:colOff>28575</xdr:colOff>
      <xdr:row>29</xdr:row>
      <xdr:rowOff>24926</xdr:rowOff>
    </xdr:from>
    <xdr:ext cx="1971675" cy="4630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5" name="116 CuadroTexto"/>
            <xdr:cNvSpPr txBox="1"/>
          </xdr:nvSpPr>
          <xdr:spPr>
            <a:xfrm>
              <a:off x="2867025" y="17208026"/>
              <a:ext cx="1971675" cy="4630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𝑈𝑡𝑖𝑙𝑖𝑑𝑎𝑑</m:t>
                        </m:r>
                        <m:r>
                          <a:rPr lang="es-CO" sz="1100" b="0" i="1">
                            <a:latin typeface="Cambria Math"/>
                          </a:rPr>
                          <m:t> </m:t>
                        </m:r>
                        <m:r>
                          <a:rPr lang="es-CO" sz="1100" b="0" i="1">
                            <a:latin typeface="Cambria Math"/>
                          </a:rPr>
                          <m:t>𝑛𝑒𝑡𝑎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𝑃𝑎𝑡𝑟𝑖𝑚𝑜𝑛𝑖𝑜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5" name="116 CuadroTexto"/>
            <xdr:cNvSpPr txBox="1"/>
          </xdr:nvSpPr>
          <xdr:spPr>
            <a:xfrm>
              <a:off x="2867025" y="17208026"/>
              <a:ext cx="1971675" cy="4630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(</a:t>
              </a:r>
              <a:r>
                <a:rPr lang="es-CO" sz="1100" b="0" i="0">
                  <a:latin typeface="Cambria Math"/>
                </a:rPr>
                <a:t>𝑈𝑡𝑖𝑙𝑖𝑑𝑎𝑑 𝑛𝑒𝑡𝑎</a:t>
              </a:r>
              <a:r>
                <a:rPr lang="es-CO" sz="1100" b="0" i="0">
                  <a:latin typeface="Cambria Math" panose="02040503050406030204" pitchFamily="18" charset="0"/>
                </a:rPr>
                <a:t>)/</a:t>
              </a:r>
              <a:r>
                <a:rPr lang="es-CO" sz="1100" b="0" i="0">
                  <a:latin typeface="Cambria Math"/>
                </a:rPr>
                <a:t>𝑃𝑎𝑡𝑟𝑖𝑚𝑜𝑛𝑖𝑜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3</xdr:col>
      <xdr:colOff>9525</xdr:colOff>
      <xdr:row>26</xdr:row>
      <xdr:rowOff>34451</xdr:rowOff>
    </xdr:from>
    <xdr:ext cx="1971675" cy="4630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7" name="118 CuadroTexto"/>
            <xdr:cNvSpPr txBox="1"/>
          </xdr:nvSpPr>
          <xdr:spPr>
            <a:xfrm>
              <a:off x="2847975" y="15731651"/>
              <a:ext cx="1971675" cy="4630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𝑈𝐴𝐼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𝐴𝑐𝑡𝑖𝑣𝑜</m:t>
                        </m:r>
                        <m:r>
                          <a:rPr lang="es-CO" sz="1100" b="0" i="1">
                            <a:latin typeface="Cambria Math"/>
                          </a:rPr>
                          <m:t> </m:t>
                        </m:r>
                        <m:r>
                          <a:rPr lang="es-CO" sz="1100" b="0" i="1">
                            <a:latin typeface="Cambria Math"/>
                          </a:rPr>
                          <m:t>𝑡𝑜𝑡𝑎𝑙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7" name="118 CuadroTexto"/>
            <xdr:cNvSpPr txBox="1"/>
          </xdr:nvSpPr>
          <xdr:spPr>
            <a:xfrm>
              <a:off x="2847975" y="15731651"/>
              <a:ext cx="1971675" cy="4630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es-CO" sz="1100" b="0" i="0">
                  <a:latin typeface="Cambria Math"/>
                </a:rPr>
                <a:t>𝑈𝐴𝐼</a:t>
              </a:r>
              <a:r>
                <a:rPr lang="es-CO" sz="1100" b="0" i="0">
                  <a:latin typeface="Cambria Math" panose="02040503050406030204" pitchFamily="18" charset="0"/>
                </a:rPr>
                <a:t>/(</a:t>
              </a:r>
              <a:r>
                <a:rPr lang="es-CO" sz="1100" b="0" i="0">
                  <a:latin typeface="Cambria Math"/>
                </a:rPr>
                <a:t>𝐴𝑐𝑡𝑖𝑣𝑜 𝑡𝑜𝑡𝑎𝑙</a:t>
              </a:r>
              <a:r>
                <a:rPr lang="es-CO" sz="1100" b="0" i="0">
                  <a:latin typeface="Cambria Math" panose="02040503050406030204" pitchFamily="18" charset="0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3</xdr:col>
      <xdr:colOff>3176</xdr:colOff>
      <xdr:row>29</xdr:row>
      <xdr:rowOff>452493</xdr:rowOff>
    </xdr:from>
    <xdr:ext cx="2317749" cy="7281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8" name="119 CuadroTexto"/>
            <xdr:cNvSpPr txBox="1"/>
          </xdr:nvSpPr>
          <xdr:spPr>
            <a:xfrm>
              <a:off x="2841626" y="17635593"/>
              <a:ext cx="2317749" cy="7281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𝑈𝑛𝑒𝑡𝑎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𝑉𝑒𝑛𝑡𝑎𝑠</m:t>
                        </m:r>
                      </m:den>
                    </m:f>
                    <m:r>
                      <a:rPr lang="es-CO" sz="1100" b="0" i="1">
                        <a:latin typeface="Cambria Math"/>
                        <a:ea typeface="Cambria Math"/>
                      </a:rPr>
                      <m:t>×</m:t>
                    </m:r>
                    <m:f>
                      <m:fPr>
                        <m:ctrlPr>
                          <a:rPr lang="es-CO" sz="11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  <a:ea typeface="Cambria Math"/>
                          </a:rPr>
                          <m:t>𝑉𝑒𝑛𝑡𝑎𝑠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  <a:ea typeface="Cambria Math"/>
                          </a:rPr>
                          <m:t>𝐴𝑐𝑡𝑖𝑣𝑜𝑠</m:t>
                        </m:r>
                      </m:den>
                    </m:f>
                    <m:r>
                      <a:rPr lang="es-CO" sz="1100" b="0" i="1">
                        <a:latin typeface="Cambria Math"/>
                        <a:ea typeface="Cambria Math"/>
                      </a:rPr>
                      <m:t>×</m:t>
                    </m:r>
                    <m:f>
                      <m:fPr>
                        <m:ctrlPr>
                          <a:rPr lang="es-CO" sz="11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  <a:ea typeface="Cambria Math"/>
                          </a:rPr>
                          <m:t>𝐴𝑐𝑡𝑖𝑣𝑜𝑠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  <a:ea typeface="Cambria Math"/>
                          </a:rPr>
                          <m:t>𝑃𝑎𝑡𝑟𝑖𝑚𝑜𝑛𝑖𝑜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8" name="119 CuadroTexto"/>
            <xdr:cNvSpPr txBox="1"/>
          </xdr:nvSpPr>
          <xdr:spPr>
            <a:xfrm>
              <a:off x="2841626" y="17635593"/>
              <a:ext cx="2317749" cy="7281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es-CO" sz="1100" b="0" i="0">
                  <a:latin typeface="Cambria Math"/>
                </a:rPr>
                <a:t>𝑈𝑛𝑒𝑡𝑎</a:t>
              </a:r>
              <a:r>
                <a:rPr lang="es-CO" sz="1100" b="0" i="0">
                  <a:latin typeface="Cambria Math" panose="02040503050406030204" pitchFamily="18" charset="0"/>
                </a:rPr>
                <a:t>/</a:t>
              </a:r>
              <a:r>
                <a:rPr lang="es-CO" sz="1100" b="0" i="0">
                  <a:latin typeface="Cambria Math"/>
                </a:rPr>
                <a:t>𝑉𝑒𝑛𝑡𝑎𝑠</a:t>
              </a:r>
              <a:r>
                <a:rPr lang="es-CO" sz="1100" b="0" i="0">
                  <a:latin typeface="Cambria Math"/>
                  <a:ea typeface="Cambria Math"/>
                </a:rPr>
                <a:t>×𝑉𝑒𝑛𝑡𝑎𝑠</a:t>
              </a:r>
              <a:r>
                <a:rPr lang="es-CO" sz="11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s-CO" sz="1100" b="0" i="0">
                  <a:latin typeface="Cambria Math"/>
                  <a:ea typeface="Cambria Math"/>
                </a:rPr>
                <a:t>𝐴𝑐𝑡𝑖𝑣𝑜𝑠×𝐴𝑐𝑡𝑖𝑣𝑜𝑠</a:t>
              </a:r>
              <a:r>
                <a:rPr lang="es-CO" sz="11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s-CO" sz="1100" b="0" i="0">
                  <a:latin typeface="Cambria Math"/>
                  <a:ea typeface="Cambria Math"/>
                </a:rPr>
                <a:t>𝑃𝑎𝑡𝑟𝑖𝑚𝑜𝑛𝑖𝑜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3</xdr:col>
      <xdr:colOff>190500</xdr:colOff>
      <xdr:row>43</xdr:row>
      <xdr:rowOff>5877</xdr:rowOff>
    </xdr:from>
    <xdr:to>
      <xdr:col>3</xdr:col>
      <xdr:colOff>1762125</xdr:colOff>
      <xdr:row>43</xdr:row>
      <xdr:rowOff>501177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9" name="130 CuadroTexto"/>
            <xdr:cNvSpPr txBox="1"/>
          </xdr:nvSpPr>
          <xdr:spPr>
            <a:xfrm>
              <a:off x="3028950" y="25847202"/>
              <a:ext cx="1571625" cy="4953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𝑃𝑎𝑠𝑖𝑣𝑜</m:t>
                        </m:r>
                        <m:r>
                          <a:rPr lang="es-CO" sz="1100" b="0" i="1">
                            <a:latin typeface="Cambria Math"/>
                          </a:rPr>
                          <m:t> </m:t>
                        </m:r>
                        <m:r>
                          <a:rPr lang="es-CO" sz="1100" b="0" i="1">
                            <a:latin typeface="Cambria Math"/>
                          </a:rPr>
                          <m:t>𝑡𝑜𝑡𝑎𝑙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𝐴𝑐𝑡𝑖𝑣𝑜</m:t>
                        </m:r>
                        <m:r>
                          <a:rPr lang="es-CO" sz="1100" b="0" i="1">
                            <a:latin typeface="Cambria Math"/>
                          </a:rPr>
                          <m:t> </m:t>
                        </m:r>
                        <m:r>
                          <a:rPr lang="es-CO" sz="1100" b="0" i="1">
                            <a:latin typeface="Cambria Math"/>
                          </a:rPr>
                          <m:t>𝑡𝑜𝑡𝑎𝑙</m:t>
                        </m:r>
                      </m:den>
                    </m:f>
                  </m:oMath>
                </m:oMathPara>
              </a14:m>
              <a:endParaRPr lang="es-CO" sz="1100" b="0" i="1">
                <a:latin typeface="Cambria Math"/>
              </a:endParaRPr>
            </a:p>
          </xdr:txBody>
        </xdr:sp>
      </mc:Choice>
      <mc:Fallback xmlns="">
        <xdr:sp macro="" textlink="">
          <xdr:nvSpPr>
            <xdr:cNvPr id="79" name="130 CuadroTexto"/>
            <xdr:cNvSpPr txBox="1"/>
          </xdr:nvSpPr>
          <xdr:spPr>
            <a:xfrm>
              <a:off x="3028950" y="25847202"/>
              <a:ext cx="1571625" cy="4953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(</a:t>
              </a:r>
              <a:r>
                <a:rPr lang="es-CO" sz="1100" b="0" i="0">
                  <a:latin typeface="Cambria Math"/>
                </a:rPr>
                <a:t>𝑃𝑎𝑠𝑖𝑣𝑜 𝑡𝑜𝑡𝑎𝑙</a:t>
              </a:r>
              <a:r>
                <a:rPr lang="es-CO" sz="1100" b="0" i="0">
                  <a:latin typeface="Cambria Math" panose="02040503050406030204" pitchFamily="18" charset="0"/>
                </a:rPr>
                <a:t>)/(</a:t>
              </a:r>
              <a:r>
                <a:rPr lang="es-CO" sz="1100" b="0" i="0">
                  <a:latin typeface="Cambria Math"/>
                </a:rPr>
                <a:t>𝐴𝑐𝑡𝑖𝑣𝑜 𝑡𝑜𝑡𝑎𝑙</a:t>
              </a:r>
              <a:r>
                <a:rPr lang="es-CO" sz="1100" b="0" i="0">
                  <a:latin typeface="Cambria Math" panose="02040503050406030204" pitchFamily="18" charset="0"/>
                </a:rPr>
                <a:t>)</a:t>
              </a:r>
              <a:endParaRPr lang="es-CO" sz="1100" b="0" i="1">
                <a:latin typeface="Cambria Math"/>
              </a:endParaRPr>
            </a:p>
          </xdr:txBody>
        </xdr:sp>
      </mc:Fallback>
    </mc:AlternateContent>
    <xdr:clientData/>
  </xdr:twoCellAnchor>
  <xdr:twoCellAnchor>
    <xdr:from>
      <xdr:col>3</xdr:col>
      <xdr:colOff>190500</xdr:colOff>
      <xdr:row>43</xdr:row>
      <xdr:rowOff>567851</xdr:rowOff>
    </xdr:from>
    <xdr:to>
      <xdr:col>3</xdr:col>
      <xdr:colOff>1762125</xdr:colOff>
      <xdr:row>44</xdr:row>
      <xdr:rowOff>491651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0" name="131 CuadroTexto"/>
            <xdr:cNvSpPr txBox="1"/>
          </xdr:nvSpPr>
          <xdr:spPr>
            <a:xfrm>
              <a:off x="3028950" y="26409176"/>
              <a:ext cx="1571625" cy="4953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𝑃𝑎𝑠𝑖𝑣𝑜</m:t>
                        </m:r>
                        <m:r>
                          <a:rPr lang="es-CO" sz="1100" b="0" i="1">
                            <a:latin typeface="Cambria Math"/>
                          </a:rPr>
                          <m:t> </m:t>
                        </m:r>
                        <m:r>
                          <a:rPr lang="es-CO" sz="1100" b="0" i="1">
                            <a:latin typeface="Cambria Math"/>
                          </a:rPr>
                          <m:t>𝑐𝑜𝑟𝑟𝑖𝑒𝑛𝑡𝑒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𝑃𝑎𝑠𝑖𝑣𝑜</m:t>
                        </m:r>
                        <m:r>
                          <a:rPr lang="es-CO" sz="1100" b="0" i="1">
                            <a:latin typeface="Cambria Math"/>
                          </a:rPr>
                          <m:t> </m:t>
                        </m:r>
                        <m:r>
                          <a:rPr lang="es-CO" sz="1100" b="0" i="1">
                            <a:latin typeface="Cambria Math"/>
                          </a:rPr>
                          <m:t>𝑡𝑜𝑡𝑎𝑙</m:t>
                        </m:r>
                      </m:den>
                    </m:f>
                  </m:oMath>
                </m:oMathPara>
              </a14:m>
              <a:endParaRPr lang="es-CO" sz="1100" b="0" i="1">
                <a:latin typeface="Cambria Math"/>
              </a:endParaRPr>
            </a:p>
          </xdr:txBody>
        </xdr:sp>
      </mc:Choice>
      <mc:Fallback xmlns="">
        <xdr:sp macro="" textlink="">
          <xdr:nvSpPr>
            <xdr:cNvPr id="80" name="131 CuadroTexto"/>
            <xdr:cNvSpPr txBox="1"/>
          </xdr:nvSpPr>
          <xdr:spPr>
            <a:xfrm>
              <a:off x="3028950" y="26409176"/>
              <a:ext cx="1571625" cy="4953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(</a:t>
              </a:r>
              <a:r>
                <a:rPr lang="es-CO" sz="1100" b="0" i="0">
                  <a:latin typeface="Cambria Math"/>
                </a:rPr>
                <a:t>𝑃𝑎𝑠𝑖𝑣𝑜 𝑐𝑜𝑟𝑟𝑖𝑒𝑛𝑡𝑒</a:t>
              </a:r>
              <a:r>
                <a:rPr lang="es-CO" sz="1100" b="0" i="0">
                  <a:latin typeface="Cambria Math" panose="02040503050406030204" pitchFamily="18" charset="0"/>
                </a:rPr>
                <a:t>)/(</a:t>
              </a:r>
              <a:r>
                <a:rPr lang="es-CO" sz="1100" b="0" i="0">
                  <a:latin typeface="Cambria Math"/>
                </a:rPr>
                <a:t>𝑃𝑎𝑠𝑖𝑣𝑜 𝑡𝑜𝑡𝑎𝑙</a:t>
              </a:r>
              <a:r>
                <a:rPr lang="es-CO" sz="1100" b="0" i="0">
                  <a:latin typeface="Cambria Math" panose="02040503050406030204" pitchFamily="18" charset="0"/>
                </a:rPr>
                <a:t>)</a:t>
              </a:r>
              <a:endParaRPr lang="es-CO" sz="1100" b="0" i="1">
                <a:latin typeface="Cambria Math"/>
              </a:endParaRPr>
            </a:p>
          </xdr:txBody>
        </xdr:sp>
      </mc:Fallback>
    </mc:AlternateContent>
    <xdr:clientData/>
  </xdr:twoCellAnchor>
  <xdr:twoCellAnchor>
    <xdr:from>
      <xdr:col>3</xdr:col>
      <xdr:colOff>161925</xdr:colOff>
      <xdr:row>45</xdr:row>
      <xdr:rowOff>53501</xdr:rowOff>
    </xdr:from>
    <xdr:to>
      <xdr:col>3</xdr:col>
      <xdr:colOff>1733550</xdr:colOff>
      <xdr:row>45</xdr:row>
      <xdr:rowOff>548801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1" name="132 CuadroTexto"/>
            <xdr:cNvSpPr txBox="1"/>
          </xdr:nvSpPr>
          <xdr:spPr>
            <a:xfrm>
              <a:off x="3000375" y="27037826"/>
              <a:ext cx="1571625" cy="4953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𝑃𝑎𝑠𝑖𝑣𝑜</m:t>
                        </m:r>
                        <m:r>
                          <a:rPr lang="es-CO" sz="1100" b="0" i="1">
                            <a:latin typeface="Cambria Math"/>
                          </a:rPr>
                          <m:t> </m:t>
                        </m:r>
                        <m:r>
                          <a:rPr lang="es-CO" sz="1100" b="0" i="1">
                            <a:latin typeface="Cambria Math"/>
                          </a:rPr>
                          <m:t>𝑡𝑜𝑡𝑎𝑙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𝑃𝑎𝑡𝑟𝑖𝑚𝑜𝑛𝑖𝑜</m:t>
                        </m:r>
                      </m:den>
                    </m:f>
                  </m:oMath>
                </m:oMathPara>
              </a14:m>
              <a:endParaRPr lang="es-CO" sz="1100" b="0" i="1">
                <a:latin typeface="Cambria Math"/>
              </a:endParaRPr>
            </a:p>
          </xdr:txBody>
        </xdr:sp>
      </mc:Choice>
      <mc:Fallback xmlns="">
        <xdr:sp macro="" textlink="">
          <xdr:nvSpPr>
            <xdr:cNvPr id="81" name="132 CuadroTexto"/>
            <xdr:cNvSpPr txBox="1"/>
          </xdr:nvSpPr>
          <xdr:spPr>
            <a:xfrm>
              <a:off x="3000375" y="27037826"/>
              <a:ext cx="1571625" cy="4953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(</a:t>
              </a:r>
              <a:r>
                <a:rPr lang="es-CO" sz="1100" b="0" i="0">
                  <a:latin typeface="Cambria Math"/>
                </a:rPr>
                <a:t>𝑃𝑎𝑠𝑖𝑣𝑜 𝑡𝑜𝑡𝑎𝑙</a:t>
              </a:r>
              <a:r>
                <a:rPr lang="es-CO" sz="1100" b="0" i="0">
                  <a:latin typeface="Cambria Math" panose="02040503050406030204" pitchFamily="18" charset="0"/>
                </a:rPr>
                <a:t>)/</a:t>
              </a:r>
              <a:r>
                <a:rPr lang="es-CO" sz="1100" b="0" i="0">
                  <a:latin typeface="Cambria Math"/>
                </a:rPr>
                <a:t>𝑃𝑎𝑡𝑟𝑖𝑚𝑜𝑛𝑖𝑜</a:t>
              </a:r>
              <a:endParaRPr lang="es-CO" sz="1100" b="0" i="1">
                <a:latin typeface="Cambria Math"/>
              </a:endParaRPr>
            </a:p>
          </xdr:txBody>
        </xdr:sp>
      </mc:Fallback>
    </mc:AlternateContent>
    <xdr:clientData/>
  </xdr:twoCellAnchor>
  <xdr:twoCellAnchor>
    <xdr:from>
      <xdr:col>3</xdr:col>
      <xdr:colOff>123825</xdr:colOff>
      <xdr:row>46</xdr:row>
      <xdr:rowOff>920276</xdr:rowOff>
    </xdr:from>
    <xdr:to>
      <xdr:col>3</xdr:col>
      <xdr:colOff>1695450</xdr:colOff>
      <xdr:row>47</xdr:row>
      <xdr:rowOff>748827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3" name="134 CuadroTexto"/>
            <xdr:cNvSpPr txBox="1"/>
          </xdr:nvSpPr>
          <xdr:spPr>
            <a:xfrm>
              <a:off x="2962275" y="28857101"/>
              <a:ext cx="1571625" cy="7810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/>
                          </a:rPr>
                          <m:t>𝑃𝑎𝑠𝑖𝑣𝑜</m:t>
                        </m:r>
                        <m:r>
                          <a:rPr lang="es-CO" sz="1100" b="0" i="1">
                            <a:latin typeface="Cambria Math"/>
                          </a:rPr>
                          <m:t> </m:t>
                        </m:r>
                        <m:r>
                          <a:rPr lang="es-CO" sz="1100" b="0" i="1">
                            <a:latin typeface="Cambria Math"/>
                          </a:rPr>
                          <m:t>𝑓𝑖𝑛𝑎𝑛𝑐𝑖𝑒𝑟𝑜</m:t>
                        </m:r>
                      </m:num>
                      <m:den>
                        <m:r>
                          <a:rPr lang="es-CO" sz="1100" b="0" i="1">
                            <a:latin typeface="Cambria Math"/>
                          </a:rPr>
                          <m:t>𝑃𝑎𝑡𝑟𝑖𝑚𝑜𝑛𝑖𝑜</m:t>
                        </m:r>
                      </m:den>
                    </m:f>
                  </m:oMath>
                </m:oMathPara>
              </a14:m>
              <a:endParaRPr lang="es-CO" sz="1100" b="0" i="1">
                <a:latin typeface="Cambria Math"/>
              </a:endParaRPr>
            </a:p>
          </xdr:txBody>
        </xdr:sp>
      </mc:Choice>
      <mc:Fallback xmlns="">
        <xdr:sp macro="" textlink="">
          <xdr:nvSpPr>
            <xdr:cNvPr id="83" name="134 CuadroTexto"/>
            <xdr:cNvSpPr txBox="1"/>
          </xdr:nvSpPr>
          <xdr:spPr>
            <a:xfrm>
              <a:off x="2962275" y="28857101"/>
              <a:ext cx="1571625" cy="7810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(</a:t>
              </a:r>
              <a:r>
                <a:rPr lang="es-CO" sz="1100" b="0" i="0">
                  <a:latin typeface="Cambria Math"/>
                </a:rPr>
                <a:t>𝑃𝑎𝑠𝑖𝑣𝑜 𝑓𝑖𝑛𝑎𝑛𝑐𝑖𝑒𝑟𝑜</a:t>
              </a:r>
              <a:r>
                <a:rPr lang="es-CO" sz="1100" b="0" i="0">
                  <a:latin typeface="Cambria Math" panose="02040503050406030204" pitchFamily="18" charset="0"/>
                </a:rPr>
                <a:t>)/</a:t>
              </a:r>
              <a:r>
                <a:rPr lang="es-CO" sz="1100" b="0" i="0">
                  <a:latin typeface="Cambria Math"/>
                </a:rPr>
                <a:t>𝑃𝑎𝑡𝑟𝑖𝑚𝑜𝑛𝑖𝑜</a:t>
              </a:r>
              <a:endParaRPr lang="es-CO" sz="1100" b="0" i="1">
                <a:latin typeface="Cambria Math"/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Anaranjado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N45"/>
  <sheetViews>
    <sheetView tabSelected="1" workbookViewId="0">
      <selection activeCell="E51" sqref="E51"/>
    </sheetView>
  </sheetViews>
  <sheetFormatPr baseColWidth="10" defaultRowHeight="15" x14ac:dyDescent="0.25"/>
  <cols>
    <col min="5" max="5" width="18.7109375" customWidth="1"/>
    <col min="6" max="6" width="18" customWidth="1"/>
  </cols>
  <sheetData>
    <row r="1" spans="2:14" ht="39" customHeight="1" x14ac:dyDescent="0.25">
      <c r="C1" s="129"/>
      <c r="D1" s="129"/>
      <c r="E1" s="1" t="s">
        <v>0</v>
      </c>
      <c r="F1" s="1" t="s">
        <v>1</v>
      </c>
    </row>
    <row r="2" spans="2:14" ht="45" x14ac:dyDescent="0.25">
      <c r="B2" t="s">
        <v>2</v>
      </c>
      <c r="C2" s="2" t="s">
        <v>3</v>
      </c>
      <c r="D2" s="2" t="s">
        <v>4</v>
      </c>
      <c r="E2" s="2" t="s">
        <v>5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  <c r="L2" s="3" t="s">
        <v>11</v>
      </c>
      <c r="M2" s="125" t="s">
        <v>12</v>
      </c>
      <c r="N2" s="125" t="s">
        <v>13</v>
      </c>
    </row>
    <row r="3" spans="2:14" hidden="1" x14ac:dyDescent="0.25">
      <c r="B3" s="4">
        <v>1</v>
      </c>
      <c r="C3" s="5">
        <v>41666</v>
      </c>
      <c r="D3" s="5">
        <v>41672</v>
      </c>
      <c r="E3" s="6">
        <v>4.0300000000000002E-2</v>
      </c>
      <c r="F3" s="7">
        <f t="shared" ref="F3:F45" si="0">+((1+E3)^(1/12))-1</f>
        <v>3.2978537514263273E-3</v>
      </c>
      <c r="G3" s="7">
        <f t="shared" ref="G3:G45" si="1">4*(1-(1+E3)^(-1/4))</f>
        <v>3.9314652485032298E-2</v>
      </c>
      <c r="H3" s="8">
        <v>7.1499999999999994E-2</v>
      </c>
      <c r="I3" s="8">
        <v>8.8200000000000001E-2</v>
      </c>
      <c r="J3" s="8">
        <f t="shared" ref="J3:J45" si="2">+G3+H3</f>
        <v>0.11081465248503229</v>
      </c>
      <c r="K3" s="9">
        <f t="shared" ref="K3:K45" si="3">+((1-J3/4)^(-4))-1</f>
        <v>0.11893639928718058</v>
      </c>
      <c r="L3" s="9">
        <f t="shared" ref="L3:L45" si="4">+(1+K3)^(1/12)-1</f>
        <v>9.4088702700094728E-3</v>
      </c>
      <c r="M3" s="10">
        <f>+E3+I3</f>
        <v>0.1285</v>
      </c>
      <c r="N3" s="11">
        <f>+(1+M3)^(1/12)-1</f>
        <v>1.0125024446520081E-2</v>
      </c>
    </row>
    <row r="4" spans="2:14" hidden="1" x14ac:dyDescent="0.25">
      <c r="B4" s="4">
        <v>5</v>
      </c>
      <c r="C4" s="12">
        <v>41694</v>
      </c>
      <c r="D4" s="12">
        <v>41700</v>
      </c>
      <c r="E4" s="6">
        <v>3.9699999999999999E-2</v>
      </c>
      <c r="F4" s="7">
        <f t="shared" si="0"/>
        <v>3.2496194358384578E-3</v>
      </c>
      <c r="G4" s="7">
        <f t="shared" si="1"/>
        <v>3.8743358576743603E-2</v>
      </c>
      <c r="H4" s="8">
        <v>7.1499999999999994E-2</v>
      </c>
      <c r="I4" s="8">
        <v>8.8200000000000001E-2</v>
      </c>
      <c r="J4" s="8">
        <f t="shared" si="2"/>
        <v>0.1102433585767436</v>
      </c>
      <c r="K4" s="9">
        <f t="shared" si="3"/>
        <v>0.11827918518156832</v>
      </c>
      <c r="L4" s="9">
        <f t="shared" si="4"/>
        <v>9.3594500940543668E-3</v>
      </c>
      <c r="M4" s="10">
        <f t="shared" ref="M4:M45" si="5">+E4+I4</f>
        <v>0.12790000000000001</v>
      </c>
      <c r="N4" s="11">
        <f t="shared" ref="N4:N45" si="6">+(1+M4)^(1/12)-1</f>
        <v>1.0080258329473901E-2</v>
      </c>
    </row>
    <row r="5" spans="2:14" hidden="1" x14ac:dyDescent="0.25">
      <c r="B5" s="4">
        <v>9</v>
      </c>
      <c r="C5" s="5">
        <v>41722</v>
      </c>
      <c r="D5" s="5">
        <v>41728</v>
      </c>
      <c r="E5" s="6">
        <v>3.85E-2</v>
      </c>
      <c r="F5" s="7">
        <f t="shared" si="0"/>
        <v>3.1530742084739938E-3</v>
      </c>
      <c r="G5" s="7">
        <f t="shared" si="1"/>
        <v>3.7599533449196532E-2</v>
      </c>
      <c r="H5" s="8">
        <v>7.1499999999999994E-2</v>
      </c>
      <c r="I5" s="8">
        <v>8.8200000000000001E-2</v>
      </c>
      <c r="J5" s="8">
        <f t="shared" si="2"/>
        <v>0.10909953344919653</v>
      </c>
      <c r="K5" s="9">
        <f t="shared" si="3"/>
        <v>0.11696478311738101</v>
      </c>
      <c r="L5" s="9">
        <f t="shared" si="4"/>
        <v>9.2605317875844584E-3</v>
      </c>
      <c r="M5" s="10">
        <f t="shared" si="5"/>
        <v>0.12670000000000001</v>
      </c>
      <c r="N5" s="11">
        <f t="shared" si="6"/>
        <v>9.9906605689696892E-3</v>
      </c>
    </row>
    <row r="6" spans="2:14" x14ac:dyDescent="0.25">
      <c r="B6" s="4">
        <v>10</v>
      </c>
      <c r="C6" s="13">
        <v>41729</v>
      </c>
      <c r="D6" s="13">
        <v>41735</v>
      </c>
      <c r="E6" s="6">
        <v>3.8800000000000001E-2</v>
      </c>
      <c r="F6" s="7">
        <f t="shared" si="0"/>
        <v>3.1772200986699417E-3</v>
      </c>
      <c r="G6" s="7">
        <f t="shared" si="1"/>
        <v>3.7885644562431597E-2</v>
      </c>
      <c r="H6" s="8">
        <v>7.1499999999999994E-2</v>
      </c>
      <c r="I6" s="8">
        <v>8.8200000000000001E-2</v>
      </c>
      <c r="J6" s="8">
        <f t="shared" si="2"/>
        <v>0.10938564456243159</v>
      </c>
      <c r="K6" s="9">
        <f t="shared" si="3"/>
        <v>0.11729338036391224</v>
      </c>
      <c r="L6" s="9">
        <f t="shared" si="4"/>
        <v>9.2852711174891134E-3</v>
      </c>
      <c r="M6" s="126">
        <f t="shared" si="5"/>
        <v>0.127</v>
      </c>
      <c r="N6" s="127">
        <f t="shared" si="6"/>
        <v>1.0013068206861098E-2</v>
      </c>
    </row>
    <row r="7" spans="2:14" hidden="1" x14ac:dyDescent="0.25">
      <c r="B7" s="4">
        <v>11</v>
      </c>
      <c r="C7" s="12">
        <v>41736</v>
      </c>
      <c r="D7" s="12">
        <v>41742</v>
      </c>
      <c r="E7" s="6">
        <v>3.8600000000000002E-2</v>
      </c>
      <c r="F7" s="7">
        <f t="shared" si="0"/>
        <v>3.1611235488977485E-3</v>
      </c>
      <c r="G7" s="7">
        <f t="shared" si="1"/>
        <v>3.7694915298373211E-2</v>
      </c>
      <c r="H7" s="8">
        <v>7.1499999999999994E-2</v>
      </c>
      <c r="I7" s="8">
        <v>8.8200000000000001E-2</v>
      </c>
      <c r="J7" s="8">
        <f t="shared" si="2"/>
        <v>0.1091949152983732</v>
      </c>
      <c r="K7" s="9">
        <f t="shared" si="3"/>
        <v>0.11707431529064327</v>
      </c>
      <c r="L7" s="9">
        <f t="shared" si="4"/>
        <v>9.2687789538394849E-3</v>
      </c>
      <c r="M7" s="10">
        <f t="shared" si="5"/>
        <v>0.1268</v>
      </c>
      <c r="N7" s="11">
        <f t="shared" si="6"/>
        <v>9.9981303892207052E-3</v>
      </c>
    </row>
    <row r="8" spans="2:14" hidden="1" x14ac:dyDescent="0.25">
      <c r="B8" s="4">
        <v>12</v>
      </c>
      <c r="C8" s="12">
        <v>41743</v>
      </c>
      <c r="D8" s="12">
        <v>41749</v>
      </c>
      <c r="E8" s="6">
        <v>3.8100000000000002E-2</v>
      </c>
      <c r="F8" s="7">
        <f t="shared" si="0"/>
        <v>3.1208697401348129E-3</v>
      </c>
      <c r="G8" s="7">
        <f t="shared" si="1"/>
        <v>3.7217891213463528E-2</v>
      </c>
      <c r="H8" s="8">
        <v>7.1499999999999994E-2</v>
      </c>
      <c r="I8" s="8">
        <v>8.8200000000000001E-2</v>
      </c>
      <c r="J8" s="8">
        <f t="shared" si="2"/>
        <v>0.10871789121346352</v>
      </c>
      <c r="K8" s="9">
        <f t="shared" si="3"/>
        <v>0.11652665684720587</v>
      </c>
      <c r="L8" s="9">
        <f t="shared" si="4"/>
        <v>9.2275358899238658E-3</v>
      </c>
      <c r="M8" s="10">
        <f t="shared" si="5"/>
        <v>0.1263</v>
      </c>
      <c r="N8" s="11">
        <f t="shared" si="6"/>
        <v>9.9607752093477941E-3</v>
      </c>
    </row>
    <row r="9" spans="2:14" hidden="1" x14ac:dyDescent="0.25">
      <c r="B9" s="4">
        <v>13</v>
      </c>
      <c r="C9" s="12">
        <v>41750</v>
      </c>
      <c r="D9" s="12">
        <v>41756</v>
      </c>
      <c r="E9" s="6">
        <v>3.78E-2</v>
      </c>
      <c r="F9" s="7">
        <f t="shared" si="0"/>
        <v>3.096708923229885E-3</v>
      </c>
      <c r="G9" s="7">
        <f t="shared" si="1"/>
        <v>3.6931538885980331E-2</v>
      </c>
      <c r="H9" s="8">
        <v>7.1499999999999994E-2</v>
      </c>
      <c r="I9" s="8">
        <v>8.8200000000000001E-2</v>
      </c>
      <c r="J9" s="8">
        <f t="shared" si="2"/>
        <v>0.10843153888598032</v>
      </c>
      <c r="K9" s="9">
        <f t="shared" si="3"/>
        <v>0.11619806468906457</v>
      </c>
      <c r="L9" s="9">
        <f t="shared" si="4"/>
        <v>9.202781368674362E-3</v>
      </c>
      <c r="M9" s="10">
        <f t="shared" si="5"/>
        <v>0.126</v>
      </c>
      <c r="N9" s="11">
        <f t="shared" si="6"/>
        <v>9.9383548041853675E-3</v>
      </c>
    </row>
    <row r="10" spans="2:14" hidden="1" x14ac:dyDescent="0.25">
      <c r="B10" s="4">
        <v>14</v>
      </c>
      <c r="C10" s="5">
        <v>41757</v>
      </c>
      <c r="D10" s="5">
        <v>41763</v>
      </c>
      <c r="E10" s="6">
        <v>3.78E-2</v>
      </c>
      <c r="F10" s="7">
        <f t="shared" si="0"/>
        <v>3.096708923229885E-3</v>
      </c>
      <c r="G10" s="7">
        <f t="shared" si="1"/>
        <v>3.6931538885980331E-2</v>
      </c>
      <c r="H10" s="8">
        <v>7.1499999999999994E-2</v>
      </c>
      <c r="I10" s="8">
        <v>8.8200000000000001E-2</v>
      </c>
      <c r="J10" s="8">
        <f t="shared" si="2"/>
        <v>0.10843153888598032</v>
      </c>
      <c r="K10" s="9">
        <f t="shared" si="3"/>
        <v>0.11619806468906457</v>
      </c>
      <c r="L10" s="9">
        <f t="shared" si="4"/>
        <v>9.202781368674362E-3</v>
      </c>
      <c r="M10" s="10">
        <f t="shared" si="5"/>
        <v>0.126</v>
      </c>
      <c r="N10" s="11">
        <f t="shared" si="6"/>
        <v>9.9383548041853675E-3</v>
      </c>
    </row>
    <row r="11" spans="2:14" hidden="1" x14ac:dyDescent="0.25">
      <c r="B11" s="4">
        <v>15</v>
      </c>
      <c r="C11" s="12">
        <v>41764</v>
      </c>
      <c r="D11" s="12">
        <v>41770</v>
      </c>
      <c r="E11" s="6">
        <v>3.8199999999999998E-2</v>
      </c>
      <c r="F11" s="7">
        <f t="shared" si="0"/>
        <v>3.1289219234786891E-3</v>
      </c>
      <c r="G11" s="7">
        <f t="shared" si="1"/>
        <v>3.7313319003228429E-2</v>
      </c>
      <c r="H11" s="8">
        <v>7.1499999999999994E-2</v>
      </c>
      <c r="I11" s="8">
        <v>8.8200000000000001E-2</v>
      </c>
      <c r="J11" s="8">
        <f t="shared" si="2"/>
        <v>0.10881331900322842</v>
      </c>
      <c r="K11" s="9">
        <f t="shared" si="3"/>
        <v>0.11663618805128495</v>
      </c>
      <c r="L11" s="9">
        <f t="shared" si="4"/>
        <v>9.2357859495015848E-3</v>
      </c>
      <c r="M11" s="10">
        <f t="shared" si="5"/>
        <v>0.12640000000000001</v>
      </c>
      <c r="N11" s="11">
        <f t="shared" si="6"/>
        <v>9.9682474612527994E-3</v>
      </c>
    </row>
    <row r="12" spans="2:14" hidden="1" x14ac:dyDescent="0.25">
      <c r="B12" s="4">
        <v>16</v>
      </c>
      <c r="C12" s="12">
        <v>41771</v>
      </c>
      <c r="D12" s="12">
        <v>41777</v>
      </c>
      <c r="E12" s="6">
        <v>3.6900000000000002E-2</v>
      </c>
      <c r="F12" s="7">
        <f t="shared" si="0"/>
        <v>3.0241880399000109E-3</v>
      </c>
      <c r="G12" s="7">
        <f t="shared" si="1"/>
        <v>3.6071860696372582E-2</v>
      </c>
      <c r="H12" s="8">
        <v>7.1499999999999994E-2</v>
      </c>
      <c r="I12" s="8">
        <v>8.8200000000000001E-2</v>
      </c>
      <c r="J12" s="8">
        <f t="shared" si="2"/>
        <v>0.10757186069637258</v>
      </c>
      <c r="K12" s="9">
        <f t="shared" si="3"/>
        <v>0.11521230130544935</v>
      </c>
      <c r="L12" s="9">
        <f t="shared" si="4"/>
        <v>9.1284786910561522E-3</v>
      </c>
      <c r="M12" s="10">
        <f t="shared" si="5"/>
        <v>0.12509999999999999</v>
      </c>
      <c r="N12" s="11">
        <f t="shared" si="6"/>
        <v>9.8710607194358868E-3</v>
      </c>
    </row>
    <row r="13" spans="2:14" hidden="1" x14ac:dyDescent="0.25">
      <c r="B13" s="4">
        <v>17</v>
      </c>
      <c r="C13" s="12">
        <v>41778</v>
      </c>
      <c r="D13" s="12">
        <v>41784</v>
      </c>
      <c r="E13" s="6">
        <v>3.8100000000000002E-2</v>
      </c>
      <c r="F13" s="7">
        <f t="shared" si="0"/>
        <v>3.1208697401348129E-3</v>
      </c>
      <c r="G13" s="7">
        <f t="shared" si="1"/>
        <v>3.7217891213463528E-2</v>
      </c>
      <c r="H13" s="8">
        <v>7.1499999999999994E-2</v>
      </c>
      <c r="I13" s="8">
        <v>8.8200000000000001E-2</v>
      </c>
      <c r="J13" s="8">
        <f t="shared" si="2"/>
        <v>0.10871789121346352</v>
      </c>
      <c r="K13" s="9">
        <f t="shared" si="3"/>
        <v>0.11652665684720587</v>
      </c>
      <c r="L13" s="9">
        <f t="shared" si="4"/>
        <v>9.2275358899238658E-3</v>
      </c>
      <c r="M13" s="10">
        <f t="shared" si="5"/>
        <v>0.1263</v>
      </c>
      <c r="N13" s="11">
        <f t="shared" si="6"/>
        <v>9.9607752093477941E-3</v>
      </c>
    </row>
    <row r="14" spans="2:14" x14ac:dyDescent="0.25">
      <c r="B14" s="4">
        <v>18</v>
      </c>
      <c r="C14" s="128">
        <v>41785</v>
      </c>
      <c r="D14" s="128">
        <v>41791</v>
      </c>
      <c r="E14" s="6">
        <v>3.8100000000000002E-2</v>
      </c>
      <c r="F14" s="7">
        <f t="shared" si="0"/>
        <v>3.1208697401348129E-3</v>
      </c>
      <c r="G14" s="7">
        <f t="shared" si="1"/>
        <v>3.7217891213463528E-2</v>
      </c>
      <c r="H14" s="8">
        <v>7.1499999999999994E-2</v>
      </c>
      <c r="I14" s="8">
        <v>8.8200000000000001E-2</v>
      </c>
      <c r="J14" s="8">
        <f t="shared" si="2"/>
        <v>0.10871789121346352</v>
      </c>
      <c r="K14" s="9">
        <f t="shared" si="3"/>
        <v>0.11652665684720587</v>
      </c>
      <c r="L14" s="9">
        <f t="shared" si="4"/>
        <v>9.2275358899238658E-3</v>
      </c>
      <c r="M14" s="126">
        <f t="shared" si="5"/>
        <v>0.1263</v>
      </c>
      <c r="N14" s="127">
        <f t="shared" si="6"/>
        <v>9.9607752093477941E-3</v>
      </c>
    </row>
    <row r="15" spans="2:14" hidden="1" x14ac:dyDescent="0.25">
      <c r="B15" s="4">
        <v>19</v>
      </c>
      <c r="C15" s="12">
        <v>41792</v>
      </c>
      <c r="D15" s="12">
        <v>41798</v>
      </c>
      <c r="E15" s="6">
        <v>3.8699999999999998E-2</v>
      </c>
      <c r="F15" s="7">
        <f t="shared" si="0"/>
        <v>3.1691721789193217E-3</v>
      </c>
      <c r="G15" s="7">
        <f t="shared" si="1"/>
        <v>3.7790285668622747E-2</v>
      </c>
      <c r="H15" s="8">
        <v>7.1499999999999994E-2</v>
      </c>
      <c r="I15" s="8">
        <v>8.8200000000000001E-2</v>
      </c>
      <c r="J15" s="8">
        <f t="shared" si="2"/>
        <v>0.10929028566862274</v>
      </c>
      <c r="K15" s="9">
        <f t="shared" si="3"/>
        <v>0.11718384770615953</v>
      </c>
      <c r="L15" s="9">
        <f t="shared" si="4"/>
        <v>9.2770253970966277E-3</v>
      </c>
      <c r="M15" s="10">
        <f t="shared" si="5"/>
        <v>0.12690000000000001</v>
      </c>
      <c r="N15" s="11">
        <f t="shared" si="6"/>
        <v>1.0005599601816684E-2</v>
      </c>
    </row>
    <row r="16" spans="2:14" hidden="1" x14ac:dyDescent="0.25">
      <c r="B16" s="4">
        <v>20</v>
      </c>
      <c r="C16" s="12">
        <v>41799</v>
      </c>
      <c r="D16" s="12">
        <v>41805</v>
      </c>
      <c r="E16" s="6">
        <v>3.8100000000000002E-2</v>
      </c>
      <c r="F16" s="7">
        <f t="shared" si="0"/>
        <v>3.1208697401348129E-3</v>
      </c>
      <c r="G16" s="7">
        <f t="shared" si="1"/>
        <v>3.7217891213463528E-2</v>
      </c>
      <c r="H16" s="8">
        <v>7.1499999999999994E-2</v>
      </c>
      <c r="I16" s="8">
        <v>8.8200000000000001E-2</v>
      </c>
      <c r="J16" s="8">
        <f t="shared" si="2"/>
        <v>0.10871789121346352</v>
      </c>
      <c r="K16" s="9">
        <f t="shared" si="3"/>
        <v>0.11652665684720587</v>
      </c>
      <c r="L16" s="9">
        <f t="shared" si="4"/>
        <v>9.2275358899238658E-3</v>
      </c>
      <c r="M16" s="10">
        <f t="shared" si="5"/>
        <v>0.1263</v>
      </c>
      <c r="N16" s="11">
        <f t="shared" si="6"/>
        <v>9.9607752093477941E-3</v>
      </c>
    </row>
    <row r="17" spans="2:14" hidden="1" x14ac:dyDescent="0.25">
      <c r="B17" s="4">
        <v>21</v>
      </c>
      <c r="C17" s="12">
        <v>41806</v>
      </c>
      <c r="D17" s="12">
        <v>41812</v>
      </c>
      <c r="E17" s="6">
        <v>3.85E-2</v>
      </c>
      <c r="F17" s="7">
        <f t="shared" si="0"/>
        <v>3.1530742084739938E-3</v>
      </c>
      <c r="G17" s="7">
        <f t="shared" si="1"/>
        <v>3.7599533449196532E-2</v>
      </c>
      <c r="H17" s="8">
        <v>7.1499999999999994E-2</v>
      </c>
      <c r="I17" s="8">
        <v>8.8200000000000001E-2</v>
      </c>
      <c r="J17" s="8">
        <f t="shared" si="2"/>
        <v>0.10909953344919653</v>
      </c>
      <c r="K17" s="9">
        <f t="shared" si="3"/>
        <v>0.11696478311738101</v>
      </c>
      <c r="L17" s="9">
        <f t="shared" si="4"/>
        <v>9.2605317875844584E-3</v>
      </c>
      <c r="M17" s="10">
        <f t="shared" si="5"/>
        <v>0.12670000000000001</v>
      </c>
      <c r="N17" s="11">
        <f t="shared" si="6"/>
        <v>9.9906605689696892E-3</v>
      </c>
    </row>
    <row r="18" spans="2:14" hidden="1" x14ac:dyDescent="0.25">
      <c r="B18" s="4">
        <v>22</v>
      </c>
      <c r="C18" s="5">
        <v>41813</v>
      </c>
      <c r="D18" s="5">
        <v>41819</v>
      </c>
      <c r="E18" s="6">
        <v>3.95E-2</v>
      </c>
      <c r="F18" s="7">
        <f t="shared" si="0"/>
        <v>3.2335356603379051E-3</v>
      </c>
      <c r="G18" s="7">
        <f t="shared" si="1"/>
        <v>3.8552835687443388E-2</v>
      </c>
      <c r="H18" s="8">
        <v>7.1499999999999994E-2</v>
      </c>
      <c r="I18" s="8">
        <v>8.8200000000000001E-2</v>
      </c>
      <c r="J18" s="8">
        <f t="shared" si="2"/>
        <v>0.11005283568744338</v>
      </c>
      <c r="K18" s="9">
        <f t="shared" si="3"/>
        <v>0.11806011574939945</v>
      </c>
      <c r="L18" s="9">
        <f t="shared" si="4"/>
        <v>9.3429709311982911E-3</v>
      </c>
      <c r="M18" s="10">
        <f t="shared" si="5"/>
        <v>0.12770000000000001</v>
      </c>
      <c r="N18" s="11">
        <f t="shared" si="6"/>
        <v>1.0065331439400138E-2</v>
      </c>
    </row>
    <row r="19" spans="2:14" hidden="1" x14ac:dyDescent="0.25">
      <c r="B19" s="4">
        <v>23</v>
      </c>
      <c r="C19" s="12">
        <v>41820</v>
      </c>
      <c r="D19" s="12">
        <v>41826</v>
      </c>
      <c r="E19" s="6">
        <v>4.0099999999999997E-2</v>
      </c>
      <c r="F19" s="7">
        <f t="shared" si="0"/>
        <v>3.281778480337616E-3</v>
      </c>
      <c r="G19" s="7">
        <f t="shared" si="1"/>
        <v>3.9124266955724352E-2</v>
      </c>
      <c r="H19" s="8">
        <v>7.1499999999999994E-2</v>
      </c>
      <c r="I19" s="8">
        <v>8.8200000000000001E-2</v>
      </c>
      <c r="J19" s="8">
        <f t="shared" si="2"/>
        <v>0.11062426695572435</v>
      </c>
      <c r="K19" s="9">
        <f t="shared" si="3"/>
        <v>0.11871732695059323</v>
      </c>
      <c r="L19" s="9">
        <f t="shared" si="4"/>
        <v>9.3923997623988065E-3</v>
      </c>
      <c r="M19" s="10">
        <f t="shared" si="5"/>
        <v>0.1283</v>
      </c>
      <c r="N19" s="11">
        <f t="shared" si="6"/>
        <v>1.0110104832209865E-2</v>
      </c>
    </row>
    <row r="20" spans="2:14" hidden="1" x14ac:dyDescent="0.25">
      <c r="B20" s="4">
        <v>24</v>
      </c>
      <c r="C20" s="12">
        <v>41827</v>
      </c>
      <c r="D20" s="12">
        <v>41833</v>
      </c>
      <c r="E20" s="6">
        <v>4.07E-2</v>
      </c>
      <c r="F20" s="7">
        <f t="shared" si="0"/>
        <v>3.329995796502061E-3</v>
      </c>
      <c r="G20" s="7">
        <f t="shared" si="1"/>
        <v>3.9695286322257051E-2</v>
      </c>
      <c r="H20" s="8">
        <v>7.1499999999999994E-2</v>
      </c>
      <c r="I20" s="8">
        <v>8.8200000000000001E-2</v>
      </c>
      <c r="J20" s="8">
        <f t="shared" si="2"/>
        <v>0.11119528632225704</v>
      </c>
      <c r="K20" s="9">
        <f t="shared" si="3"/>
        <v>0.11937454686383275</v>
      </c>
      <c r="L20" s="9">
        <f t="shared" si="4"/>
        <v>9.4418026374083475E-3</v>
      </c>
      <c r="M20" s="10">
        <f t="shared" si="5"/>
        <v>0.12890000000000001</v>
      </c>
      <c r="N20" s="11">
        <f t="shared" si="6"/>
        <v>1.0154856405142798E-2</v>
      </c>
    </row>
    <row r="21" spans="2:14" hidden="1" x14ac:dyDescent="0.25">
      <c r="B21" s="4">
        <v>25</v>
      </c>
      <c r="C21" s="12">
        <v>41834</v>
      </c>
      <c r="D21" s="12">
        <v>41840</v>
      </c>
      <c r="E21" s="6">
        <v>4.1000000000000002E-2</v>
      </c>
      <c r="F21" s="7">
        <f t="shared" si="0"/>
        <v>3.3540948994528197E-3</v>
      </c>
      <c r="G21" s="7">
        <f t="shared" si="1"/>
        <v>3.9980641709322029E-2</v>
      </c>
      <c r="H21" s="8">
        <v>7.1499999999999994E-2</v>
      </c>
      <c r="I21" s="8">
        <v>8.8200000000000001E-2</v>
      </c>
      <c r="J21" s="8">
        <f t="shared" si="2"/>
        <v>0.11148064170932202</v>
      </c>
      <c r="K21" s="9">
        <f t="shared" si="3"/>
        <v>0.11970316008633541</v>
      </c>
      <c r="L21" s="9">
        <f t="shared" si="4"/>
        <v>9.4664943502833498E-3</v>
      </c>
      <c r="M21" s="10">
        <f t="shared" si="5"/>
        <v>0.12920000000000001</v>
      </c>
      <c r="N21" s="11">
        <f t="shared" si="6"/>
        <v>1.0177224016101327E-2</v>
      </c>
    </row>
    <row r="22" spans="2:14" hidden="1" x14ac:dyDescent="0.25">
      <c r="B22" s="4">
        <v>26</v>
      </c>
      <c r="C22" s="12">
        <v>41841</v>
      </c>
      <c r="D22" s="12">
        <v>41847</v>
      </c>
      <c r="E22" s="6">
        <v>4.0399999999999998E-2</v>
      </c>
      <c r="F22" s="7">
        <f t="shared" si="0"/>
        <v>3.3058903246372395E-3</v>
      </c>
      <c r="G22" s="7">
        <f t="shared" si="1"/>
        <v>3.9409828093302846E-2</v>
      </c>
      <c r="H22" s="8">
        <v>7.1499999999999994E-2</v>
      </c>
      <c r="I22" s="8">
        <v>8.8200000000000001E-2</v>
      </c>
      <c r="J22" s="8">
        <f t="shared" si="2"/>
        <v>0.11090982809330284</v>
      </c>
      <c r="K22" s="9">
        <f t="shared" si="3"/>
        <v>0.11904593581843415</v>
      </c>
      <c r="L22" s="9">
        <f t="shared" si="4"/>
        <v>9.4171044426383244E-3</v>
      </c>
      <c r="M22" s="10">
        <f t="shared" si="5"/>
        <v>0.12859999999999999</v>
      </c>
      <c r="N22" s="11">
        <f t="shared" si="6"/>
        <v>1.0132483344771126E-2</v>
      </c>
    </row>
    <row r="23" spans="2:14" hidden="1" x14ac:dyDescent="0.25">
      <c r="B23" s="4">
        <v>27</v>
      </c>
      <c r="C23" s="5">
        <v>41848</v>
      </c>
      <c r="D23" s="5">
        <v>41854</v>
      </c>
      <c r="E23" s="6">
        <v>4.0599999999999997E-2</v>
      </c>
      <c r="F23" s="7">
        <f t="shared" si="0"/>
        <v>3.3219613470447662E-3</v>
      </c>
      <c r="G23" s="7">
        <f t="shared" si="1"/>
        <v>3.9600145009442755E-2</v>
      </c>
      <c r="H23" s="8">
        <v>7.1499999999999994E-2</v>
      </c>
      <c r="I23" s="8">
        <v>8.8200000000000001E-2</v>
      </c>
      <c r="J23" s="8">
        <f t="shared" si="2"/>
        <v>0.11110014500944275</v>
      </c>
      <c r="K23" s="9">
        <f t="shared" si="3"/>
        <v>0.11926500960677666</v>
      </c>
      <c r="L23" s="9">
        <f t="shared" si="4"/>
        <v>9.433570626205201E-3</v>
      </c>
      <c r="M23" s="10">
        <f t="shared" si="5"/>
        <v>0.1288</v>
      </c>
      <c r="N23" s="11">
        <f t="shared" si="6"/>
        <v>1.0147399323979567E-2</v>
      </c>
    </row>
    <row r="24" spans="2:14" hidden="1" x14ac:dyDescent="0.25">
      <c r="B24" s="4">
        <v>28</v>
      </c>
      <c r="C24" s="12">
        <v>41855</v>
      </c>
      <c r="D24" s="12">
        <v>41861</v>
      </c>
      <c r="E24" s="6">
        <v>4.0599999999999997E-2</v>
      </c>
      <c r="F24" s="7">
        <f t="shared" si="0"/>
        <v>3.3219613470447662E-3</v>
      </c>
      <c r="G24" s="7">
        <f t="shared" si="1"/>
        <v>3.9600145009442755E-2</v>
      </c>
      <c r="H24" s="8">
        <v>7.1499999999999994E-2</v>
      </c>
      <c r="I24" s="8">
        <v>8.8200000000000001E-2</v>
      </c>
      <c r="J24" s="8">
        <f t="shared" si="2"/>
        <v>0.11110014500944275</v>
      </c>
      <c r="K24" s="9">
        <f t="shared" si="3"/>
        <v>0.11926500960677666</v>
      </c>
      <c r="L24" s="9">
        <f t="shared" si="4"/>
        <v>9.433570626205201E-3</v>
      </c>
      <c r="M24" s="10">
        <f t="shared" si="5"/>
        <v>0.1288</v>
      </c>
      <c r="N24" s="11">
        <f t="shared" si="6"/>
        <v>1.0147399323979567E-2</v>
      </c>
    </row>
    <row r="25" spans="2:14" hidden="1" x14ac:dyDescent="0.25">
      <c r="B25" s="4">
        <v>29</v>
      </c>
      <c r="C25" s="12">
        <v>41862</v>
      </c>
      <c r="D25" s="12">
        <v>41868</v>
      </c>
      <c r="E25" s="6">
        <v>3.9199999999999999E-2</v>
      </c>
      <c r="F25" s="7">
        <f t="shared" si="0"/>
        <v>3.2094046775821283E-3</v>
      </c>
      <c r="G25" s="7">
        <f t="shared" si="1"/>
        <v>3.8266965422959043E-2</v>
      </c>
      <c r="H25" s="8">
        <v>7.1499999999999994E-2</v>
      </c>
      <c r="I25" s="8">
        <v>8.8200000000000001E-2</v>
      </c>
      <c r="J25" s="8">
        <f t="shared" si="2"/>
        <v>0.10976696542295904</v>
      </c>
      <c r="K25" s="9">
        <f t="shared" si="3"/>
        <v>0.11773151341695565</v>
      </c>
      <c r="L25" s="9">
        <f t="shared" si="4"/>
        <v>9.3182467730732466E-3</v>
      </c>
      <c r="M25" s="10">
        <f t="shared" si="5"/>
        <v>0.12740000000000001</v>
      </c>
      <c r="N25" s="11">
        <f t="shared" si="6"/>
        <v>1.0042936553587678E-2</v>
      </c>
    </row>
    <row r="26" spans="2:14" hidden="1" x14ac:dyDescent="0.25">
      <c r="B26" s="4">
        <v>30</v>
      </c>
      <c r="C26" s="12">
        <v>41869</v>
      </c>
      <c r="D26" s="12">
        <v>41875</v>
      </c>
      <c r="E26" s="6">
        <v>4.0300000000000002E-2</v>
      </c>
      <c r="F26" s="7">
        <f t="shared" si="0"/>
        <v>3.2978537514263273E-3</v>
      </c>
      <c r="G26" s="7">
        <f t="shared" si="1"/>
        <v>3.9314652485032298E-2</v>
      </c>
      <c r="H26" s="8">
        <v>7.1499999999999994E-2</v>
      </c>
      <c r="I26" s="8">
        <v>8.8200000000000001E-2</v>
      </c>
      <c r="J26" s="8">
        <f t="shared" si="2"/>
        <v>0.11081465248503229</v>
      </c>
      <c r="K26" s="9">
        <f t="shared" si="3"/>
        <v>0.11893639928718058</v>
      </c>
      <c r="L26" s="9">
        <f t="shared" si="4"/>
        <v>9.4088702700094728E-3</v>
      </c>
      <c r="M26" s="10">
        <f t="shared" si="5"/>
        <v>0.1285</v>
      </c>
      <c r="N26" s="11">
        <f t="shared" si="6"/>
        <v>1.0125024446520081E-2</v>
      </c>
    </row>
    <row r="27" spans="2:14" hidden="1" x14ac:dyDescent="0.25">
      <c r="B27" s="4">
        <v>31</v>
      </c>
      <c r="C27" s="5">
        <v>41876</v>
      </c>
      <c r="D27" s="5">
        <v>41882</v>
      </c>
      <c r="E27" s="6">
        <v>4.0899999999999999E-2</v>
      </c>
      <c r="F27" s="7">
        <f t="shared" si="0"/>
        <v>3.3460625725758586E-3</v>
      </c>
      <c r="G27" s="7">
        <f t="shared" si="1"/>
        <v>3.9885534669726219E-2</v>
      </c>
      <c r="H27" s="8">
        <v>7.1499999999999994E-2</v>
      </c>
      <c r="I27" s="8">
        <v>8.8200000000000001E-2</v>
      </c>
      <c r="J27" s="8">
        <f t="shared" si="2"/>
        <v>0.11138553466972621</v>
      </c>
      <c r="K27" s="9">
        <f t="shared" si="3"/>
        <v>0.11959362210362801</v>
      </c>
      <c r="L27" s="9">
        <f t="shared" si="4"/>
        <v>9.4582644993148612E-3</v>
      </c>
      <c r="M27" s="10">
        <f t="shared" si="5"/>
        <v>0.12909999999999999</v>
      </c>
      <c r="N27" s="11">
        <f t="shared" si="6"/>
        <v>1.0169768751100872E-2</v>
      </c>
    </row>
    <row r="28" spans="2:14" hidden="1" x14ac:dyDescent="0.25">
      <c r="B28" s="4">
        <v>32</v>
      </c>
      <c r="C28" s="12">
        <v>41883</v>
      </c>
      <c r="D28" s="12">
        <v>41889</v>
      </c>
      <c r="E28" s="6">
        <v>4.07E-2</v>
      </c>
      <c r="F28" s="7">
        <f t="shared" si="0"/>
        <v>3.329995796502061E-3</v>
      </c>
      <c r="G28" s="7">
        <f t="shared" si="1"/>
        <v>3.9695286322257051E-2</v>
      </c>
      <c r="H28" s="8">
        <v>7.1499999999999994E-2</v>
      </c>
      <c r="I28" s="8">
        <v>8.8200000000000001E-2</v>
      </c>
      <c r="J28" s="8">
        <f t="shared" si="2"/>
        <v>0.11119528632225704</v>
      </c>
      <c r="K28" s="9">
        <f t="shared" si="3"/>
        <v>0.11937454686383275</v>
      </c>
      <c r="L28" s="9">
        <f t="shared" si="4"/>
        <v>9.4418026374083475E-3</v>
      </c>
      <c r="M28" s="10">
        <f t="shared" si="5"/>
        <v>0.12890000000000001</v>
      </c>
      <c r="N28" s="11">
        <f t="shared" si="6"/>
        <v>1.0154856405142798E-2</v>
      </c>
    </row>
    <row r="29" spans="2:14" hidden="1" x14ac:dyDescent="0.25">
      <c r="B29" s="4">
        <v>33</v>
      </c>
      <c r="C29" s="12">
        <v>41890</v>
      </c>
      <c r="D29" s="12">
        <v>41896</v>
      </c>
      <c r="E29" s="6">
        <v>4.0500000000000001E-2</v>
      </c>
      <c r="F29" s="7">
        <f t="shared" si="0"/>
        <v>3.3139261897998651E-3</v>
      </c>
      <c r="G29" s="7">
        <f t="shared" si="1"/>
        <v>3.9504992267282102E-2</v>
      </c>
      <c r="H29" s="8">
        <v>7.1499999999999994E-2</v>
      </c>
      <c r="I29" s="8">
        <v>8.8200000000000001E-2</v>
      </c>
      <c r="J29" s="8">
        <f t="shared" si="2"/>
        <v>0.1110049922672821</v>
      </c>
      <c r="K29" s="9">
        <f t="shared" si="3"/>
        <v>0.11915547259163839</v>
      </c>
      <c r="L29" s="9">
        <f t="shared" si="4"/>
        <v>9.4253378946593802E-3</v>
      </c>
      <c r="M29" s="10">
        <f t="shared" si="5"/>
        <v>0.12870000000000001</v>
      </c>
      <c r="N29" s="11">
        <f t="shared" si="6"/>
        <v>1.0139941637223426E-2</v>
      </c>
    </row>
    <row r="30" spans="2:14" hidden="1" x14ac:dyDescent="0.25">
      <c r="B30" s="4">
        <v>34</v>
      </c>
      <c r="C30" s="12">
        <v>41897</v>
      </c>
      <c r="D30" s="12">
        <v>41903</v>
      </c>
      <c r="E30" s="6">
        <v>4.19E-2</v>
      </c>
      <c r="F30" s="7">
        <f t="shared" si="0"/>
        <v>3.4263540299781514E-3</v>
      </c>
      <c r="G30" s="7">
        <f t="shared" si="1"/>
        <v>4.0836091485590753E-2</v>
      </c>
      <c r="H30" s="8">
        <v>7.1499999999999994E-2</v>
      </c>
      <c r="I30" s="8">
        <v>8.8200000000000001E-2</v>
      </c>
      <c r="J30" s="8">
        <f t="shared" si="2"/>
        <v>0.11233609148559075</v>
      </c>
      <c r="K30" s="9">
        <f t="shared" si="3"/>
        <v>0.12068901281193778</v>
      </c>
      <c r="L30" s="9">
        <f t="shared" si="4"/>
        <v>9.5405306332403406E-3</v>
      </c>
      <c r="M30" s="10">
        <f t="shared" si="5"/>
        <v>0.13009999999999999</v>
      </c>
      <c r="N30" s="11">
        <f t="shared" si="6"/>
        <v>1.0244294180233871E-2</v>
      </c>
    </row>
    <row r="31" spans="2:14" hidden="1" x14ac:dyDescent="0.25">
      <c r="B31" s="4">
        <v>35</v>
      </c>
      <c r="C31" s="5">
        <v>41904</v>
      </c>
      <c r="D31" s="5">
        <v>41910</v>
      </c>
      <c r="E31" s="6">
        <v>4.24E-2</v>
      </c>
      <c r="F31" s="7">
        <f t="shared" si="0"/>
        <v>3.4664732719604796E-3</v>
      </c>
      <c r="G31" s="7">
        <f t="shared" si="1"/>
        <v>4.1310942341307388E-2</v>
      </c>
      <c r="H31" s="8">
        <v>7.1499999999999994E-2</v>
      </c>
      <c r="I31" s="8">
        <v>8.8200000000000001E-2</v>
      </c>
      <c r="J31" s="8">
        <f t="shared" si="2"/>
        <v>0.11281094234130738</v>
      </c>
      <c r="K31" s="9">
        <f t="shared" si="3"/>
        <v>0.12123671723085883</v>
      </c>
      <c r="L31" s="9">
        <f t="shared" si="4"/>
        <v>9.581636743508426E-3</v>
      </c>
      <c r="M31" s="10">
        <f t="shared" si="5"/>
        <v>0.13059999999999999</v>
      </c>
      <c r="N31" s="11">
        <f t="shared" si="6"/>
        <v>1.0281534228690825E-2</v>
      </c>
    </row>
    <row r="32" spans="2:14" x14ac:dyDescent="0.25">
      <c r="B32" s="4">
        <v>36</v>
      </c>
      <c r="C32" s="12">
        <v>41911</v>
      </c>
      <c r="D32" s="12">
        <v>41917</v>
      </c>
      <c r="E32" s="6">
        <v>4.3499999999999997E-2</v>
      </c>
      <c r="F32" s="7">
        <f t="shared" si="0"/>
        <v>3.5546735478100278E-3</v>
      </c>
      <c r="G32" s="7">
        <f t="shared" si="1"/>
        <v>4.2354612776867473E-2</v>
      </c>
      <c r="H32" s="8">
        <v>7.1499999999999994E-2</v>
      </c>
      <c r="I32" s="8">
        <v>8.8200000000000001E-2</v>
      </c>
      <c r="J32" s="8">
        <f t="shared" si="2"/>
        <v>0.11385461277686747</v>
      </c>
      <c r="K32" s="9">
        <f t="shared" si="3"/>
        <v>0.12244168821169521</v>
      </c>
      <c r="L32" s="9">
        <f t="shared" si="4"/>
        <v>9.6720070282341197E-3</v>
      </c>
      <c r="M32" s="126">
        <f t="shared" si="5"/>
        <v>0.13169999999999998</v>
      </c>
      <c r="N32" s="127">
        <f t="shared" si="6"/>
        <v>1.0363409223598241E-2</v>
      </c>
    </row>
    <row r="33" spans="2:14" hidden="1" x14ac:dyDescent="0.25">
      <c r="B33" s="4">
        <v>37</v>
      </c>
      <c r="C33" s="12">
        <v>41918</v>
      </c>
      <c r="D33" s="12">
        <v>41924</v>
      </c>
      <c r="E33" s="6">
        <v>4.3999999999999997E-2</v>
      </c>
      <c r="F33" s="7">
        <f t="shared" si="0"/>
        <v>3.5947364110451296E-3</v>
      </c>
      <c r="G33" s="7">
        <f t="shared" si="1"/>
        <v>4.2828553913107914E-2</v>
      </c>
      <c r="H33" s="8">
        <v>7.1499999999999994E-2</v>
      </c>
      <c r="I33" s="8">
        <v>8.8200000000000001E-2</v>
      </c>
      <c r="J33" s="8">
        <f t="shared" si="2"/>
        <v>0.11432855391310791</v>
      </c>
      <c r="K33" s="9">
        <f t="shared" si="3"/>
        <v>0.12298941195248747</v>
      </c>
      <c r="L33" s="9">
        <f t="shared" si="4"/>
        <v>9.7130557590840993E-3</v>
      </c>
      <c r="M33" s="10">
        <f t="shared" si="5"/>
        <v>0.13219999999999998</v>
      </c>
      <c r="N33" s="11">
        <f t="shared" si="6"/>
        <v>1.0400601017310995E-2</v>
      </c>
    </row>
    <row r="34" spans="2:14" hidden="1" x14ac:dyDescent="0.25">
      <c r="B34" s="4">
        <v>38</v>
      </c>
      <c r="C34" s="12">
        <v>41925</v>
      </c>
      <c r="D34" s="12">
        <v>41931</v>
      </c>
      <c r="E34" s="6">
        <v>4.2500000000000003E-2</v>
      </c>
      <c r="F34" s="7">
        <f t="shared" si="0"/>
        <v>3.474495003497502E-3</v>
      </c>
      <c r="G34" s="7">
        <f t="shared" si="1"/>
        <v>4.1405878347650305E-2</v>
      </c>
      <c r="H34" s="8">
        <v>7.1499999999999994E-2</v>
      </c>
      <c r="I34" s="8">
        <v>8.8200000000000001E-2</v>
      </c>
      <c r="J34" s="8">
        <f t="shared" si="2"/>
        <v>0.1129058783476503</v>
      </c>
      <c r="K34" s="9">
        <f t="shared" si="3"/>
        <v>0.12134625883955552</v>
      </c>
      <c r="L34" s="9">
        <f t="shared" si="4"/>
        <v>9.5898558111364718E-3</v>
      </c>
      <c r="M34" s="10">
        <f t="shared" si="5"/>
        <v>0.13070000000000001</v>
      </c>
      <c r="N34" s="11">
        <f t="shared" si="6"/>
        <v>1.0288980426733207E-2</v>
      </c>
    </row>
    <row r="35" spans="2:14" hidden="1" x14ac:dyDescent="0.25">
      <c r="B35" s="4">
        <v>39</v>
      </c>
      <c r="C35" s="12">
        <v>41932</v>
      </c>
      <c r="D35" s="12">
        <v>41938</v>
      </c>
      <c r="E35" s="6">
        <v>4.2299999999999997E-2</v>
      </c>
      <c r="F35" s="7">
        <f t="shared" si="0"/>
        <v>3.4584508349766452E-3</v>
      </c>
      <c r="G35" s="7">
        <f t="shared" si="1"/>
        <v>4.1215994949975521E-2</v>
      </c>
      <c r="H35" s="8">
        <v>7.1499999999999994E-2</v>
      </c>
      <c r="I35" s="8">
        <v>8.8200000000000001E-2</v>
      </c>
      <c r="J35" s="8">
        <f t="shared" si="2"/>
        <v>0.11271599494997551</v>
      </c>
      <c r="K35" s="9">
        <f t="shared" si="3"/>
        <v>0.12112717586377686</v>
      </c>
      <c r="L35" s="9">
        <f t="shared" si="4"/>
        <v>9.5734169579140271E-3</v>
      </c>
      <c r="M35" s="10">
        <f t="shared" si="5"/>
        <v>0.1305</v>
      </c>
      <c r="N35" s="11">
        <f t="shared" si="6"/>
        <v>1.0274087426902057E-2</v>
      </c>
    </row>
    <row r="36" spans="2:14" hidden="1" x14ac:dyDescent="0.25">
      <c r="B36" s="4">
        <v>40</v>
      </c>
      <c r="C36" s="5">
        <v>41939</v>
      </c>
      <c r="D36" s="5">
        <v>41945</v>
      </c>
      <c r="E36" s="6">
        <v>4.41E-2</v>
      </c>
      <c r="F36" s="7">
        <f t="shared" si="0"/>
        <v>3.6027468730472911E-3</v>
      </c>
      <c r="G36" s="7">
        <f t="shared" si="1"/>
        <v>4.2923308093267387E-2</v>
      </c>
      <c r="H36" s="8">
        <v>7.1499999999999994E-2</v>
      </c>
      <c r="I36" s="8">
        <v>8.8200000000000001E-2</v>
      </c>
      <c r="J36" s="8">
        <f t="shared" si="2"/>
        <v>0.11442330809326738</v>
      </c>
      <c r="K36" s="9">
        <f t="shared" si="3"/>
        <v>0.12309895742475607</v>
      </c>
      <c r="L36" s="9">
        <f t="shared" si="4"/>
        <v>9.7212633571390761E-3</v>
      </c>
      <c r="M36" s="10">
        <f t="shared" si="5"/>
        <v>0.1323</v>
      </c>
      <c r="N36" s="11">
        <f t="shared" si="6"/>
        <v>1.0408037569308748E-2</v>
      </c>
    </row>
    <row r="37" spans="2:14" hidden="1" x14ac:dyDescent="0.25">
      <c r="B37" s="4">
        <v>41</v>
      </c>
      <c r="C37" s="12">
        <v>41946</v>
      </c>
      <c r="D37" s="12">
        <v>41952</v>
      </c>
      <c r="E37" s="6">
        <v>4.3200000000000002E-2</v>
      </c>
      <c r="F37" s="7">
        <f t="shared" si="0"/>
        <v>3.5306273826369861E-3</v>
      </c>
      <c r="G37" s="7">
        <f t="shared" si="1"/>
        <v>4.2070111818661271E-2</v>
      </c>
      <c r="H37" s="8">
        <v>7.1499999999999994E-2</v>
      </c>
      <c r="I37" s="8">
        <v>8.8200000000000001E-2</v>
      </c>
      <c r="J37" s="8">
        <f t="shared" si="2"/>
        <v>0.11357011181866127</v>
      </c>
      <c r="K37" s="9">
        <f t="shared" si="3"/>
        <v>0.12211305686426344</v>
      </c>
      <c r="L37" s="9">
        <f t="shared" si="4"/>
        <v>9.647369192539168E-3</v>
      </c>
      <c r="M37" s="10">
        <f t="shared" si="5"/>
        <v>0.13140000000000002</v>
      </c>
      <c r="N37" s="11">
        <f t="shared" si="6"/>
        <v>1.0341086916719533E-2</v>
      </c>
    </row>
    <row r="38" spans="2:14" hidden="1" x14ac:dyDescent="0.25">
      <c r="B38" s="4">
        <v>42</v>
      </c>
      <c r="C38" s="12">
        <v>41953</v>
      </c>
      <c r="D38" s="12">
        <v>41959</v>
      </c>
      <c r="E38" s="6">
        <v>4.19E-2</v>
      </c>
      <c r="F38" s="7">
        <f t="shared" si="0"/>
        <v>3.4263540299781514E-3</v>
      </c>
      <c r="G38" s="7">
        <f t="shared" si="1"/>
        <v>4.0836091485590753E-2</v>
      </c>
      <c r="H38" s="8">
        <v>7.1499999999999994E-2</v>
      </c>
      <c r="I38" s="8">
        <v>8.8200000000000001E-2</v>
      </c>
      <c r="J38" s="8">
        <f t="shared" si="2"/>
        <v>0.11233609148559075</v>
      </c>
      <c r="K38" s="9">
        <f t="shared" si="3"/>
        <v>0.12068901281193778</v>
      </c>
      <c r="L38" s="9">
        <f t="shared" si="4"/>
        <v>9.5405306332403406E-3</v>
      </c>
      <c r="M38" s="10">
        <f t="shared" si="5"/>
        <v>0.13009999999999999</v>
      </c>
      <c r="N38" s="11">
        <f t="shared" si="6"/>
        <v>1.0244294180233871E-2</v>
      </c>
    </row>
    <row r="39" spans="2:14" hidden="1" x14ac:dyDescent="0.25">
      <c r="B39" s="4">
        <v>43</v>
      </c>
      <c r="C39" s="12">
        <v>41960</v>
      </c>
      <c r="D39" s="12">
        <v>41966</v>
      </c>
      <c r="E39" s="6">
        <v>4.41E-2</v>
      </c>
      <c r="F39" s="7">
        <f t="shared" si="0"/>
        <v>3.6027468730472911E-3</v>
      </c>
      <c r="G39" s="7">
        <f t="shared" si="1"/>
        <v>4.2923308093267387E-2</v>
      </c>
      <c r="H39" s="8">
        <v>7.1499999999999994E-2</v>
      </c>
      <c r="I39" s="8">
        <v>8.8200000000000001E-2</v>
      </c>
      <c r="J39" s="8">
        <f t="shared" si="2"/>
        <v>0.11442330809326738</v>
      </c>
      <c r="K39" s="9">
        <f t="shared" si="3"/>
        <v>0.12309895742475607</v>
      </c>
      <c r="L39" s="9">
        <f t="shared" si="4"/>
        <v>9.7212633571390761E-3</v>
      </c>
      <c r="M39" s="10">
        <f t="shared" si="5"/>
        <v>0.1323</v>
      </c>
      <c r="N39" s="11">
        <f t="shared" si="6"/>
        <v>1.0408037569308748E-2</v>
      </c>
    </row>
    <row r="40" spans="2:14" hidden="1" x14ac:dyDescent="0.25">
      <c r="B40" s="4">
        <v>44</v>
      </c>
      <c r="C40" s="5">
        <v>41967</v>
      </c>
      <c r="D40" s="5">
        <v>41973</v>
      </c>
      <c r="E40" s="6">
        <v>4.3700000000000003E-2</v>
      </c>
      <c r="F40" s="7">
        <f t="shared" si="0"/>
        <v>3.5707008042658028E-3</v>
      </c>
      <c r="G40" s="7">
        <f t="shared" si="1"/>
        <v>4.2544223288238481E-2</v>
      </c>
      <c r="H40" s="8">
        <v>7.1499999999999994E-2</v>
      </c>
      <c r="I40" s="8">
        <v>8.8200000000000001E-2</v>
      </c>
      <c r="J40" s="8">
        <f t="shared" si="2"/>
        <v>0.11404422328823847</v>
      </c>
      <c r="K40" s="9">
        <f t="shared" si="3"/>
        <v>0.12266077698383571</v>
      </c>
      <c r="L40" s="9">
        <f t="shared" si="4"/>
        <v>9.6884286692140442E-3</v>
      </c>
      <c r="M40" s="10">
        <f t="shared" si="5"/>
        <v>0.13190000000000002</v>
      </c>
      <c r="N40" s="11">
        <f t="shared" si="6"/>
        <v>1.0378287748235904E-2</v>
      </c>
    </row>
    <row r="41" spans="2:14" hidden="1" x14ac:dyDescent="0.25">
      <c r="B41" s="4">
        <v>45</v>
      </c>
      <c r="C41" s="12">
        <v>41974</v>
      </c>
      <c r="D41" s="12">
        <v>41980</v>
      </c>
      <c r="E41" s="6">
        <v>4.4200000000000003E-2</v>
      </c>
      <c r="F41" s="7">
        <f t="shared" si="0"/>
        <v>3.6107566318024364E-3</v>
      </c>
      <c r="G41" s="7">
        <f t="shared" si="1"/>
        <v>4.3018050930104579E-2</v>
      </c>
      <c r="H41" s="8">
        <v>7.1499999999999994E-2</v>
      </c>
      <c r="I41" s="8">
        <v>8.8200000000000001E-2</v>
      </c>
      <c r="J41" s="8">
        <f t="shared" si="2"/>
        <v>0.11451805093010457</v>
      </c>
      <c r="K41" s="9">
        <f t="shared" si="3"/>
        <v>0.12320850313835652</v>
      </c>
      <c r="L41" s="9">
        <f t="shared" si="4"/>
        <v>9.7294702394614685E-3</v>
      </c>
      <c r="M41" s="10">
        <f t="shared" si="5"/>
        <v>0.13240000000000002</v>
      </c>
      <c r="N41" s="11">
        <f t="shared" si="6"/>
        <v>1.0415473519296281E-2</v>
      </c>
    </row>
    <row r="42" spans="2:14" hidden="1" x14ac:dyDescent="0.25">
      <c r="B42" s="4">
        <v>46</v>
      </c>
      <c r="C42" s="12">
        <v>41981</v>
      </c>
      <c r="D42" s="12">
        <v>41987</v>
      </c>
      <c r="E42" s="6">
        <v>4.3200000000000002E-2</v>
      </c>
      <c r="F42" s="7">
        <f t="shared" si="0"/>
        <v>3.5306273826369861E-3</v>
      </c>
      <c r="G42" s="7">
        <f t="shared" si="1"/>
        <v>4.2070111818661271E-2</v>
      </c>
      <c r="H42" s="8">
        <v>7.1499999999999994E-2</v>
      </c>
      <c r="I42" s="8">
        <v>8.8200000000000001E-2</v>
      </c>
      <c r="J42" s="8">
        <f t="shared" si="2"/>
        <v>0.11357011181866127</v>
      </c>
      <c r="K42" s="9">
        <f t="shared" si="3"/>
        <v>0.12211305686426344</v>
      </c>
      <c r="L42" s="9">
        <f t="shared" si="4"/>
        <v>9.647369192539168E-3</v>
      </c>
      <c r="M42" s="10">
        <f t="shared" si="5"/>
        <v>0.13140000000000002</v>
      </c>
      <c r="N42" s="11">
        <f t="shared" si="6"/>
        <v>1.0341086916719533E-2</v>
      </c>
    </row>
    <row r="43" spans="2:14" hidden="1" x14ac:dyDescent="0.25">
      <c r="B43" s="4">
        <v>47</v>
      </c>
      <c r="C43" s="12">
        <v>41988</v>
      </c>
      <c r="D43" s="12">
        <v>41994</v>
      </c>
      <c r="E43" s="6">
        <v>4.2999999999999997E-2</v>
      </c>
      <c r="F43" s="7">
        <f t="shared" si="0"/>
        <v>3.5145930840192463E-3</v>
      </c>
      <c r="G43" s="7">
        <f t="shared" si="1"/>
        <v>4.1880387690503618E-2</v>
      </c>
      <c r="H43" s="8">
        <v>7.1499999999999994E-2</v>
      </c>
      <c r="I43" s="8">
        <v>8.8200000000000001E-2</v>
      </c>
      <c r="J43" s="8">
        <f t="shared" si="2"/>
        <v>0.11338038769050361</v>
      </c>
      <c r="K43" s="9">
        <f t="shared" si="3"/>
        <v>0.12189397050668793</v>
      </c>
      <c r="L43" s="9">
        <f t="shared" si="4"/>
        <v>9.6309403843930497E-3</v>
      </c>
      <c r="M43" s="10">
        <f t="shared" si="5"/>
        <v>0.13119999999999998</v>
      </c>
      <c r="N43" s="11">
        <f t="shared" si="6"/>
        <v>1.0326202364327575E-2</v>
      </c>
    </row>
    <row r="44" spans="2:14" hidden="1" x14ac:dyDescent="0.25">
      <c r="B44" s="4">
        <v>48</v>
      </c>
      <c r="C44" s="5">
        <v>41995</v>
      </c>
      <c r="D44" s="5">
        <v>42001</v>
      </c>
      <c r="E44" s="6">
        <v>4.3999999999999997E-2</v>
      </c>
      <c r="F44" s="7">
        <f t="shared" si="0"/>
        <v>3.5947364110451296E-3</v>
      </c>
      <c r="G44" s="7">
        <f t="shared" si="1"/>
        <v>4.2828553913107914E-2</v>
      </c>
      <c r="H44" s="8">
        <v>7.1499999999999994E-2</v>
      </c>
      <c r="I44" s="8">
        <v>8.8200000000000001E-2</v>
      </c>
      <c r="J44" s="8">
        <f t="shared" si="2"/>
        <v>0.11432855391310791</v>
      </c>
      <c r="K44" s="9">
        <f>+((1-J44/4)^(-4))-1</f>
        <v>0.12298941195248747</v>
      </c>
      <c r="L44" s="9">
        <f>+(1+K44)^(1/12)-1</f>
        <v>9.7130557590840993E-3</v>
      </c>
      <c r="M44" s="10">
        <f t="shared" si="5"/>
        <v>0.13219999999999998</v>
      </c>
      <c r="N44" s="11">
        <f t="shared" si="6"/>
        <v>1.0400601017310995E-2</v>
      </c>
    </row>
    <row r="45" spans="2:14" x14ac:dyDescent="0.25">
      <c r="B45" s="4">
        <v>49</v>
      </c>
      <c r="C45" s="12">
        <v>42002</v>
      </c>
      <c r="D45" s="12">
        <v>42008</v>
      </c>
      <c r="E45" s="6">
        <v>4.3400000000000001E-2</v>
      </c>
      <c r="F45" s="7">
        <f t="shared" si="0"/>
        <v>3.5466588636137164E-3</v>
      </c>
      <c r="G45" s="7">
        <f t="shared" si="1"/>
        <v>4.2259790485402071E-2</v>
      </c>
      <c r="H45" s="8">
        <v>7.1499999999999994E-2</v>
      </c>
      <c r="I45" s="8">
        <v>8.8200000000000001E-2</v>
      </c>
      <c r="J45" s="8">
        <f t="shared" si="2"/>
        <v>0.11375979048540207</v>
      </c>
      <c r="K45" s="9">
        <f t="shared" si="3"/>
        <v>0.12233214418776495</v>
      </c>
      <c r="L45" s="9">
        <f t="shared" si="4"/>
        <v>9.6637951330305061E-3</v>
      </c>
      <c r="M45" s="126">
        <f t="shared" si="5"/>
        <v>0.13159999999999999</v>
      </c>
      <c r="N45" s="127">
        <f t="shared" si="6"/>
        <v>1.0355969057396885E-2</v>
      </c>
    </row>
  </sheetData>
  <autoFilter ref="B2:N45">
    <filterColumn colId="12">
      <colorFilter dxfId="0"/>
    </filterColumn>
  </autoFilter>
  <mergeCells count="1"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64"/>
  <sheetViews>
    <sheetView workbookViewId="0">
      <selection activeCell="B10" sqref="B10"/>
    </sheetView>
  </sheetViews>
  <sheetFormatPr baseColWidth="10" defaultRowHeight="15" x14ac:dyDescent="0.25"/>
  <cols>
    <col min="1" max="1" width="20.85546875" customWidth="1"/>
    <col min="2" max="2" width="15.140625" bestFit="1" customWidth="1"/>
    <col min="4" max="4" width="10.7109375" bestFit="1" customWidth="1"/>
    <col min="5" max="5" width="3" bestFit="1" customWidth="1"/>
    <col min="6" max="6" width="11.42578125" bestFit="1" customWidth="1"/>
    <col min="7" max="7" width="9.28515625" bestFit="1" customWidth="1"/>
    <col min="8" max="8" width="10.5703125" bestFit="1" customWidth="1"/>
    <col min="9" max="9" width="8" bestFit="1" customWidth="1"/>
    <col min="10" max="10" width="10.5703125" bestFit="1" customWidth="1"/>
    <col min="11" max="11" width="11.5703125" bestFit="1" customWidth="1"/>
    <col min="12" max="12" width="7.140625" bestFit="1" customWidth="1"/>
    <col min="14" max="14" width="8.42578125" bestFit="1" customWidth="1"/>
    <col min="15" max="15" width="13.140625" bestFit="1" customWidth="1"/>
    <col min="16" max="16" width="15.140625" bestFit="1" customWidth="1"/>
    <col min="17" max="17" width="14.140625" bestFit="1" customWidth="1"/>
  </cols>
  <sheetData>
    <row r="2" spans="1:17" x14ac:dyDescent="0.25">
      <c r="A2" t="s">
        <v>14</v>
      </c>
      <c r="B2" s="14">
        <v>41667</v>
      </c>
      <c r="D2" s="130" t="s">
        <v>105</v>
      </c>
      <c r="E2" s="130"/>
      <c r="F2" s="130"/>
      <c r="G2" s="130"/>
      <c r="H2" s="130"/>
      <c r="I2" s="130"/>
      <c r="J2" s="130"/>
      <c r="K2" s="130"/>
      <c r="L2" s="130"/>
      <c r="N2" s="131" t="s">
        <v>106</v>
      </c>
      <c r="O2" s="132"/>
      <c r="P2" s="132"/>
      <c r="Q2" s="133"/>
    </row>
    <row r="3" spans="1:17" x14ac:dyDescent="0.25">
      <c r="A3" s="14" t="s">
        <v>15</v>
      </c>
      <c r="B3" s="14">
        <v>43493</v>
      </c>
      <c r="D3" s="29" t="s">
        <v>107</v>
      </c>
      <c r="E3" s="29"/>
      <c r="F3" s="29" t="s">
        <v>16</v>
      </c>
      <c r="G3" s="29" t="s">
        <v>17</v>
      </c>
      <c r="H3" s="29" t="s">
        <v>18</v>
      </c>
      <c r="I3" s="29" t="s">
        <v>19</v>
      </c>
      <c r="J3" s="29" t="s">
        <v>20</v>
      </c>
      <c r="K3" s="29" t="s">
        <v>21</v>
      </c>
      <c r="L3" s="29"/>
      <c r="N3" s="29" t="s">
        <v>22</v>
      </c>
      <c r="O3" s="29" t="s">
        <v>31</v>
      </c>
      <c r="P3" s="29" t="s">
        <v>88</v>
      </c>
      <c r="Q3" s="29" t="s">
        <v>24</v>
      </c>
    </row>
    <row r="4" spans="1:17" x14ac:dyDescent="0.25">
      <c r="A4" t="s">
        <v>90</v>
      </c>
      <c r="B4" s="4">
        <v>60</v>
      </c>
      <c r="D4" s="31"/>
      <c r="E4" s="31"/>
      <c r="F4" s="31"/>
      <c r="G4" s="31"/>
      <c r="H4" s="31"/>
      <c r="I4" s="31"/>
      <c r="J4" s="31"/>
      <c r="K4" s="33">
        <f>+B7</f>
        <v>70000000</v>
      </c>
      <c r="L4" s="31"/>
      <c r="N4" s="31"/>
      <c r="O4" s="31"/>
      <c r="P4" s="31"/>
      <c r="Q4" s="33">
        <f>+B5</f>
        <v>100000000</v>
      </c>
    </row>
    <row r="5" spans="1:17" x14ac:dyDescent="0.25">
      <c r="A5" t="s">
        <v>26</v>
      </c>
      <c r="B5" s="4">
        <v>100000000</v>
      </c>
      <c r="D5" s="34">
        <v>41698</v>
      </c>
      <c r="E5" s="31">
        <v>1</v>
      </c>
      <c r="F5" s="35">
        <f>+PMT(L5,'Contrato 9312'!B4-E4,-K4,B8)</f>
        <v>1523400.3896321664</v>
      </c>
      <c r="G5" s="35">
        <f>+K4*L5</f>
        <v>658620.91890066315</v>
      </c>
      <c r="H5" s="35">
        <f>+F5-G5</f>
        <v>864779.47073150321</v>
      </c>
      <c r="I5" s="35">
        <v>0</v>
      </c>
      <c r="J5" s="35">
        <f>+F5+I5</f>
        <v>1523400.3896321664</v>
      </c>
      <c r="K5" s="35">
        <f>+K4-H5</f>
        <v>69135220.529268503</v>
      </c>
      <c r="L5" s="36">
        <v>9.4088702700094728E-3</v>
      </c>
      <c r="N5" s="31">
        <v>1</v>
      </c>
      <c r="O5" s="38">
        <f>+$Q$4/$B$4</f>
        <v>1666666.6666666667</v>
      </c>
      <c r="P5" s="38">
        <f>+P4+O5</f>
        <v>1666666.6666666667</v>
      </c>
      <c r="Q5" s="38">
        <f>+$Q$4-P5</f>
        <v>98333333.333333328</v>
      </c>
    </row>
    <row r="6" spans="1:17" x14ac:dyDescent="0.25">
      <c r="A6" t="s">
        <v>27</v>
      </c>
      <c r="B6" s="4">
        <v>30000000</v>
      </c>
      <c r="D6" s="34">
        <v>41726</v>
      </c>
      <c r="E6" s="31">
        <v>2</v>
      </c>
      <c r="F6" s="35">
        <f>+PMT(L6,$B$4-E5,-K5,$B$8)</f>
        <v>1517218.8052569104</v>
      </c>
      <c r="G6" s="35">
        <f>+K5*L6</f>
        <v>640228.90735295264</v>
      </c>
      <c r="H6" s="35">
        <f>+F6-G6</f>
        <v>876989.89790395775</v>
      </c>
      <c r="I6" s="35">
        <v>24651</v>
      </c>
      <c r="J6" s="35">
        <f>+F6+I6</f>
        <v>1541869.8052569104</v>
      </c>
      <c r="K6" s="35">
        <f>+K5-H6</f>
        <v>68258230.631364539</v>
      </c>
      <c r="L6" s="36">
        <v>9.2605317875844584E-3</v>
      </c>
      <c r="N6" s="31">
        <v>2</v>
      </c>
      <c r="O6" s="38">
        <f t="shared" ref="O6:O64" si="0">+$Q$4/$B$4</f>
        <v>1666666.6666666667</v>
      </c>
      <c r="P6" s="38">
        <f t="shared" ref="P6:P64" si="1">+P5+O6</f>
        <v>3333333.3333333335</v>
      </c>
      <c r="Q6" s="38">
        <f t="shared" ref="Q6:Q64" si="2">+$Q$4-P6</f>
        <v>96666666.666666672</v>
      </c>
    </row>
    <row r="7" spans="1:17" x14ac:dyDescent="0.25">
      <c r="A7" t="s">
        <v>28</v>
      </c>
      <c r="B7" s="4">
        <f>+B5-B6</f>
        <v>70000000</v>
      </c>
      <c r="D7" s="34">
        <v>41757</v>
      </c>
      <c r="E7" s="31">
        <v>3</v>
      </c>
      <c r="F7" s="35">
        <f t="shared" ref="F7:F64" si="3">+PMT(L7,$B$4-E6,-K6,$B$8)</f>
        <v>1514851.5507640932</v>
      </c>
      <c r="G7" s="35">
        <f t="shared" ref="G7:G64" si="4">+K6*L7</f>
        <v>628165.57311299921</v>
      </c>
      <c r="H7" s="35">
        <f t="shared" ref="H7:H64" si="5">+F7-G7</f>
        <v>886685.97765109397</v>
      </c>
      <c r="I7" s="35">
        <v>24651</v>
      </c>
      <c r="J7" s="35">
        <f t="shared" ref="J7:J63" si="6">+F7+I7</f>
        <v>1539502.5507640932</v>
      </c>
      <c r="K7" s="35">
        <f t="shared" ref="K7:K64" si="7">+K6-H7</f>
        <v>67371544.65371345</v>
      </c>
      <c r="L7" s="36">
        <v>9.202781368674362E-3</v>
      </c>
      <c r="N7" s="31">
        <v>3</v>
      </c>
      <c r="O7" s="38">
        <f t="shared" si="0"/>
        <v>1666666.6666666667</v>
      </c>
      <c r="P7" s="38">
        <f t="shared" si="1"/>
        <v>5000000</v>
      </c>
      <c r="Q7" s="38">
        <f t="shared" si="2"/>
        <v>95000000</v>
      </c>
    </row>
    <row r="8" spans="1:17" x14ac:dyDescent="0.25">
      <c r="A8" t="s">
        <v>29</v>
      </c>
      <c r="B8" s="4">
        <v>700000</v>
      </c>
      <c r="D8" s="34">
        <v>41787</v>
      </c>
      <c r="E8" s="31">
        <v>4</v>
      </c>
      <c r="F8" s="35">
        <f t="shared" si="3"/>
        <v>1515850.7238372336</v>
      </c>
      <c r="G8" s="35">
        <f t="shared" si="4"/>
        <v>621673.3462517492</v>
      </c>
      <c r="H8" s="35">
        <f t="shared" si="5"/>
        <v>894177.37758548441</v>
      </c>
      <c r="I8" s="35">
        <v>24651</v>
      </c>
      <c r="J8" s="35">
        <f t="shared" si="6"/>
        <v>1540501.7238372336</v>
      </c>
      <c r="K8" s="35">
        <f t="shared" si="7"/>
        <v>66477367.276127964</v>
      </c>
      <c r="L8" s="36">
        <v>9.2275358899238658E-3</v>
      </c>
      <c r="N8" s="31">
        <v>4</v>
      </c>
      <c r="O8" s="38">
        <f t="shared" si="0"/>
        <v>1666666.6666666667</v>
      </c>
      <c r="P8" s="38">
        <f t="shared" si="1"/>
        <v>6666666.666666667</v>
      </c>
      <c r="Q8" s="38">
        <f t="shared" si="2"/>
        <v>93333333.333333328</v>
      </c>
    </row>
    <row r="9" spans="1:17" x14ac:dyDescent="0.25">
      <c r="A9" t="s">
        <v>30</v>
      </c>
      <c r="B9" s="18">
        <f>+PMT(L5,'Contrato 9312'!B4,-'Contrato 9312'!B7,B8)</f>
        <v>1523400.3896321664</v>
      </c>
      <c r="D9" s="34">
        <v>41818</v>
      </c>
      <c r="E9" s="31">
        <v>5</v>
      </c>
      <c r="F9" s="35">
        <f t="shared" si="3"/>
        <v>1520443.3312539198</v>
      </c>
      <c r="G9" s="35">
        <f t="shared" si="4"/>
        <v>621096.11004345608</v>
      </c>
      <c r="H9" s="35">
        <f t="shared" si="5"/>
        <v>899347.22121046367</v>
      </c>
      <c r="I9" s="35">
        <v>24651</v>
      </c>
      <c r="J9" s="35">
        <f t="shared" si="6"/>
        <v>1545094.3312539198</v>
      </c>
      <c r="K9" s="35">
        <f t="shared" si="7"/>
        <v>65578020.054917499</v>
      </c>
      <c r="L9" s="36">
        <v>9.3429709311982911E-3</v>
      </c>
      <c r="N9" s="31">
        <v>5</v>
      </c>
      <c r="O9" s="38">
        <f t="shared" si="0"/>
        <v>1666666.6666666667</v>
      </c>
      <c r="P9" s="38">
        <f t="shared" si="1"/>
        <v>8333333.333333334</v>
      </c>
      <c r="Q9" s="38">
        <f t="shared" si="2"/>
        <v>91666666.666666672</v>
      </c>
    </row>
    <row r="10" spans="1:17" x14ac:dyDescent="0.25">
      <c r="D10" s="34">
        <v>41848</v>
      </c>
      <c r="E10" s="31">
        <v>6</v>
      </c>
      <c r="F10" s="35">
        <f t="shared" si="3"/>
        <v>1523996.9259286895</v>
      </c>
      <c r="G10" s="35">
        <f t="shared" si="4"/>
        <v>618634.88371476531</v>
      </c>
      <c r="H10" s="35">
        <f t="shared" si="5"/>
        <v>905362.04221392423</v>
      </c>
      <c r="I10" s="35">
        <v>24651</v>
      </c>
      <c r="J10" s="35">
        <f t="shared" si="6"/>
        <v>1548647.9259286895</v>
      </c>
      <c r="K10" s="35">
        <f t="shared" si="7"/>
        <v>64672658.012703575</v>
      </c>
      <c r="L10" s="36">
        <v>9.433570626205201E-3</v>
      </c>
      <c r="N10" s="31">
        <v>6</v>
      </c>
      <c r="O10" s="38">
        <f t="shared" si="0"/>
        <v>1666666.6666666667</v>
      </c>
      <c r="P10" s="38">
        <f t="shared" si="1"/>
        <v>10000000</v>
      </c>
      <c r="Q10" s="38">
        <f t="shared" si="2"/>
        <v>90000000</v>
      </c>
    </row>
    <row r="11" spans="1:17" x14ac:dyDescent="0.25">
      <c r="D11" s="34">
        <v>41879</v>
      </c>
      <c r="E11" s="31">
        <v>7</v>
      </c>
      <c r="F11" s="35">
        <f t="shared" si="3"/>
        <v>1524950.8801949299</v>
      </c>
      <c r="G11" s="35">
        <f t="shared" si="4"/>
        <v>611691.10535788501</v>
      </c>
      <c r="H11" s="35">
        <f t="shared" si="5"/>
        <v>913259.77483704488</v>
      </c>
      <c r="I11" s="35">
        <v>24651</v>
      </c>
      <c r="J11" s="35">
        <f t="shared" si="6"/>
        <v>1549601.8801949299</v>
      </c>
      <c r="K11" s="35">
        <f t="shared" si="7"/>
        <v>63759398.237866528</v>
      </c>
      <c r="L11" s="36">
        <v>9.4582644993148612E-3</v>
      </c>
      <c r="N11" s="31">
        <v>7</v>
      </c>
      <c r="O11" s="38">
        <f t="shared" si="0"/>
        <v>1666666.6666666667</v>
      </c>
      <c r="P11" s="38">
        <f t="shared" si="1"/>
        <v>11666666.666666666</v>
      </c>
      <c r="Q11" s="38">
        <f t="shared" si="2"/>
        <v>88333333.333333328</v>
      </c>
    </row>
    <row r="12" spans="1:17" x14ac:dyDescent="0.25">
      <c r="A12" s="19"/>
      <c r="D12" s="34">
        <v>41910</v>
      </c>
      <c r="E12" s="31">
        <v>8</v>
      </c>
      <c r="F12" s="35">
        <f t="shared" si="3"/>
        <v>1529644.4801297353</v>
      </c>
      <c r="G12" s="35">
        <f t="shared" si="4"/>
        <v>610919.39289992827</v>
      </c>
      <c r="H12" s="35">
        <f t="shared" si="5"/>
        <v>918725.08722980705</v>
      </c>
      <c r="I12" s="35">
        <v>24651</v>
      </c>
      <c r="J12" s="35">
        <f t="shared" si="6"/>
        <v>1554295.4801297353</v>
      </c>
      <c r="K12" s="35">
        <f t="shared" si="7"/>
        <v>62840673.150636718</v>
      </c>
      <c r="L12" s="36">
        <v>9.581636743508426E-3</v>
      </c>
      <c r="N12" s="31">
        <v>8</v>
      </c>
      <c r="O12" s="38">
        <f t="shared" si="0"/>
        <v>1666666.6666666667</v>
      </c>
      <c r="P12" s="38">
        <f t="shared" si="1"/>
        <v>13333333.333333332</v>
      </c>
      <c r="Q12" s="38">
        <f t="shared" si="2"/>
        <v>86666666.666666672</v>
      </c>
    </row>
    <row r="13" spans="1:17" x14ac:dyDescent="0.25">
      <c r="D13" s="34">
        <v>41940</v>
      </c>
      <c r="E13" s="31">
        <v>9</v>
      </c>
      <c r="F13" s="35">
        <f t="shared" si="3"/>
        <v>1534878.2380500855</v>
      </c>
      <c r="G13" s="35">
        <f t="shared" si="4"/>
        <v>610890.73323723814</v>
      </c>
      <c r="H13" s="35">
        <f t="shared" si="5"/>
        <v>923987.50481284736</v>
      </c>
      <c r="I13" s="35">
        <v>24651</v>
      </c>
      <c r="J13" s="35">
        <f t="shared" si="6"/>
        <v>1559529.2380500855</v>
      </c>
      <c r="K13" s="35">
        <f t="shared" si="7"/>
        <v>61916685.645823874</v>
      </c>
      <c r="L13" s="36">
        <v>9.7212633571390761E-3</v>
      </c>
      <c r="N13" s="31">
        <v>9</v>
      </c>
      <c r="O13" s="38">
        <f t="shared" si="0"/>
        <v>1666666.6666666667</v>
      </c>
      <c r="P13" s="38">
        <f t="shared" si="1"/>
        <v>14999999.999999998</v>
      </c>
      <c r="Q13" s="38">
        <f t="shared" si="2"/>
        <v>85000000</v>
      </c>
    </row>
    <row r="14" spans="1:17" x14ac:dyDescent="0.25">
      <c r="D14" s="34">
        <v>41971</v>
      </c>
      <c r="E14" s="31">
        <v>10</v>
      </c>
      <c r="F14" s="35">
        <f t="shared" si="3"/>
        <v>1533667.3004442826</v>
      </c>
      <c r="G14" s="35">
        <f t="shared" si="4"/>
        <v>599875.39231371367</v>
      </c>
      <c r="H14" s="35">
        <f t="shared" si="5"/>
        <v>933791.90813056892</v>
      </c>
      <c r="I14" s="35">
        <v>24651</v>
      </c>
      <c r="J14" s="35">
        <f t="shared" si="6"/>
        <v>1558318.3004442826</v>
      </c>
      <c r="K14" s="35">
        <f t="shared" si="7"/>
        <v>60982893.737693302</v>
      </c>
      <c r="L14" s="36">
        <v>9.6884286692140442E-3</v>
      </c>
      <c r="N14" s="31">
        <v>10</v>
      </c>
      <c r="O14" s="38">
        <f t="shared" si="0"/>
        <v>1666666.6666666667</v>
      </c>
      <c r="P14" s="38">
        <f t="shared" si="1"/>
        <v>16666666.666666664</v>
      </c>
      <c r="Q14" s="38">
        <f t="shared" si="2"/>
        <v>83333333.333333343</v>
      </c>
    </row>
    <row r="15" spans="1:17" x14ac:dyDescent="0.25">
      <c r="D15" s="118">
        <v>42001</v>
      </c>
      <c r="E15" s="119">
        <v>11</v>
      </c>
      <c r="F15" s="120">
        <f t="shared" si="3"/>
        <v>1534559.8651721706</v>
      </c>
      <c r="G15" s="120">
        <f t="shared" si="4"/>
        <v>592330.24722451554</v>
      </c>
      <c r="H15" s="120">
        <f t="shared" si="5"/>
        <v>942229.61794765503</v>
      </c>
      <c r="I15" s="120">
        <v>24651</v>
      </c>
      <c r="J15" s="120">
        <f t="shared" si="6"/>
        <v>1559210.8651721706</v>
      </c>
      <c r="K15" s="120">
        <f t="shared" si="7"/>
        <v>60040664.119745649</v>
      </c>
      <c r="L15" s="121">
        <v>9.7130557590840993E-3</v>
      </c>
      <c r="N15" s="119">
        <v>11</v>
      </c>
      <c r="O15" s="123">
        <f t="shared" si="0"/>
        <v>1666666.6666666667</v>
      </c>
      <c r="P15" s="123">
        <f t="shared" si="1"/>
        <v>18333333.333333332</v>
      </c>
      <c r="Q15" s="123">
        <f t="shared" si="2"/>
        <v>81666666.666666672</v>
      </c>
    </row>
    <row r="16" spans="1:17" x14ac:dyDescent="0.25">
      <c r="D16" s="34">
        <v>42032</v>
      </c>
      <c r="E16" s="31">
        <v>12</v>
      </c>
      <c r="F16" s="35">
        <f t="shared" si="3"/>
        <v>1534559.865172171</v>
      </c>
      <c r="G16" s="35">
        <f t="shared" si="4"/>
        <v>583178.3184075295</v>
      </c>
      <c r="H16" s="35">
        <f t="shared" si="5"/>
        <v>951381.54676464153</v>
      </c>
      <c r="I16" s="35">
        <v>24651</v>
      </c>
      <c r="J16" s="35">
        <f t="shared" si="6"/>
        <v>1559210.865172171</v>
      </c>
      <c r="K16" s="37">
        <f t="shared" si="7"/>
        <v>59089282.572981007</v>
      </c>
      <c r="L16" s="36">
        <v>9.7130557590840993E-3</v>
      </c>
      <c r="N16" s="31">
        <v>12</v>
      </c>
      <c r="O16" s="38">
        <f t="shared" si="0"/>
        <v>1666666.6666666667</v>
      </c>
      <c r="P16" s="38">
        <f t="shared" si="1"/>
        <v>20000000</v>
      </c>
      <c r="Q16" s="38">
        <f t="shared" si="2"/>
        <v>80000000</v>
      </c>
    </row>
    <row r="17" spans="4:17" x14ac:dyDescent="0.25">
      <c r="D17" s="34">
        <v>42063</v>
      </c>
      <c r="E17" s="31">
        <v>13</v>
      </c>
      <c r="F17" s="35">
        <f t="shared" si="3"/>
        <v>1534559.865172171</v>
      </c>
      <c r="G17" s="35">
        <f t="shared" si="4"/>
        <v>573937.49639564089</v>
      </c>
      <c r="H17" s="35">
        <f t="shared" si="5"/>
        <v>960622.36877653014</v>
      </c>
      <c r="I17" s="35">
        <v>24651</v>
      </c>
      <c r="J17" s="35">
        <f t="shared" si="6"/>
        <v>1559210.865172171</v>
      </c>
      <c r="K17" s="35">
        <f t="shared" si="7"/>
        <v>58128660.204204477</v>
      </c>
      <c r="L17" s="36">
        <v>9.7130557590840993E-3</v>
      </c>
      <c r="N17" s="31">
        <v>13</v>
      </c>
      <c r="O17" s="38">
        <f t="shared" si="0"/>
        <v>1666666.6666666667</v>
      </c>
      <c r="P17" s="38">
        <f t="shared" si="1"/>
        <v>21666666.666666668</v>
      </c>
      <c r="Q17" s="38">
        <f t="shared" si="2"/>
        <v>78333333.333333328</v>
      </c>
    </row>
    <row r="18" spans="4:17" x14ac:dyDescent="0.25">
      <c r="D18" s="34">
        <v>42091</v>
      </c>
      <c r="E18" s="31">
        <v>14</v>
      </c>
      <c r="F18" s="35">
        <f t="shared" si="3"/>
        <v>1534559.865172171</v>
      </c>
      <c r="G18" s="35">
        <f t="shared" si="4"/>
        <v>564606.91776429105</v>
      </c>
      <c r="H18" s="35">
        <f t="shared" si="5"/>
        <v>969952.94740787998</v>
      </c>
      <c r="I18" s="35">
        <v>24651</v>
      </c>
      <c r="J18" s="35">
        <f t="shared" si="6"/>
        <v>1559210.865172171</v>
      </c>
      <c r="K18" s="35">
        <f t="shared" si="7"/>
        <v>57158707.256796598</v>
      </c>
      <c r="L18" s="36">
        <v>9.7130557590840993E-3</v>
      </c>
      <c r="N18" s="31">
        <v>14</v>
      </c>
      <c r="O18" s="38">
        <f t="shared" si="0"/>
        <v>1666666.6666666667</v>
      </c>
      <c r="P18" s="38">
        <f t="shared" si="1"/>
        <v>23333333.333333336</v>
      </c>
      <c r="Q18" s="38">
        <f t="shared" si="2"/>
        <v>76666666.666666657</v>
      </c>
    </row>
    <row r="19" spans="4:17" x14ac:dyDescent="0.25">
      <c r="D19" s="34">
        <v>42122</v>
      </c>
      <c r="E19" s="31">
        <v>15</v>
      </c>
      <c r="F19" s="35">
        <f t="shared" si="3"/>
        <v>1534559.8651721706</v>
      </c>
      <c r="G19" s="35">
        <f t="shared" si="4"/>
        <v>555185.71070243034</v>
      </c>
      <c r="H19" s="35">
        <f t="shared" si="5"/>
        <v>979374.15446974023</v>
      </c>
      <c r="I19" s="35">
        <v>24651</v>
      </c>
      <c r="J19" s="35">
        <f t="shared" si="6"/>
        <v>1559210.8651721706</v>
      </c>
      <c r="K19" s="35">
        <f t="shared" si="7"/>
        <v>56179333.102326855</v>
      </c>
      <c r="L19" s="36">
        <v>9.7130557590840993E-3</v>
      </c>
      <c r="N19" s="31">
        <v>15</v>
      </c>
      <c r="O19" s="38">
        <f t="shared" si="0"/>
        <v>1666666.6666666667</v>
      </c>
      <c r="P19" s="38">
        <f t="shared" si="1"/>
        <v>25000000.000000004</v>
      </c>
      <c r="Q19" s="38">
        <f t="shared" si="2"/>
        <v>75000000</v>
      </c>
    </row>
    <row r="20" spans="4:17" x14ac:dyDescent="0.25">
      <c r="D20" s="34">
        <v>42152</v>
      </c>
      <c r="E20" s="31">
        <v>16</v>
      </c>
      <c r="F20" s="35">
        <f t="shared" si="3"/>
        <v>1534559.865172171</v>
      </c>
      <c r="G20" s="35">
        <f t="shared" si="4"/>
        <v>545672.99493105989</v>
      </c>
      <c r="H20" s="35">
        <f t="shared" si="5"/>
        <v>988886.87024111114</v>
      </c>
      <c r="I20" s="35">
        <v>24651</v>
      </c>
      <c r="J20" s="35">
        <f t="shared" si="6"/>
        <v>1559210.865172171</v>
      </c>
      <c r="K20" s="35">
        <f t="shared" si="7"/>
        <v>55190446.232085742</v>
      </c>
      <c r="L20" s="36">
        <v>9.7130557590840993E-3</v>
      </c>
      <c r="N20" s="31">
        <v>16</v>
      </c>
      <c r="O20" s="38">
        <f t="shared" si="0"/>
        <v>1666666.6666666667</v>
      </c>
      <c r="P20" s="38">
        <f t="shared" si="1"/>
        <v>26666666.666666672</v>
      </c>
      <c r="Q20" s="38">
        <f t="shared" si="2"/>
        <v>73333333.333333328</v>
      </c>
    </row>
    <row r="21" spans="4:17" x14ac:dyDescent="0.25">
      <c r="D21" s="34">
        <v>42183</v>
      </c>
      <c r="E21" s="31">
        <v>17</v>
      </c>
      <c r="F21" s="35">
        <f t="shared" si="3"/>
        <v>1534559.8651721706</v>
      </c>
      <c r="G21" s="35">
        <f t="shared" si="4"/>
        <v>536067.88162098173</v>
      </c>
      <c r="H21" s="35">
        <f t="shared" si="5"/>
        <v>998491.98355118884</v>
      </c>
      <c r="I21" s="35">
        <v>24651</v>
      </c>
      <c r="J21" s="35">
        <f t="shared" si="6"/>
        <v>1559210.8651721706</v>
      </c>
      <c r="K21" s="35">
        <f t="shared" si="7"/>
        <v>54191954.248534553</v>
      </c>
      <c r="L21" s="36">
        <v>9.7130557590840993E-3</v>
      </c>
      <c r="N21" s="31">
        <v>17</v>
      </c>
      <c r="O21" s="38">
        <f t="shared" si="0"/>
        <v>1666666.6666666667</v>
      </c>
      <c r="P21" s="38">
        <f t="shared" si="1"/>
        <v>28333333.33333334</v>
      </c>
      <c r="Q21" s="38">
        <f t="shared" si="2"/>
        <v>71666666.666666657</v>
      </c>
    </row>
    <row r="22" spans="4:17" x14ac:dyDescent="0.25">
      <c r="D22" s="34">
        <v>42213</v>
      </c>
      <c r="E22" s="31">
        <v>18</v>
      </c>
      <c r="F22" s="35">
        <f t="shared" si="3"/>
        <v>1534559.8651721706</v>
      </c>
      <c r="G22" s="35">
        <f t="shared" si="4"/>
        <v>526369.47330975055</v>
      </c>
      <c r="H22" s="35">
        <f t="shared" si="5"/>
        <v>1008190.39186242</v>
      </c>
      <c r="I22" s="35">
        <v>24651</v>
      </c>
      <c r="J22" s="35">
        <f t="shared" si="6"/>
        <v>1559210.8651721706</v>
      </c>
      <c r="K22" s="35">
        <f t="shared" si="7"/>
        <v>53183763.856672131</v>
      </c>
      <c r="L22" s="36">
        <v>9.7130557590840993E-3</v>
      </c>
      <c r="N22" s="31">
        <v>18</v>
      </c>
      <c r="O22" s="38">
        <f t="shared" si="0"/>
        <v>1666666.6666666667</v>
      </c>
      <c r="P22" s="38">
        <f t="shared" si="1"/>
        <v>30000000.000000007</v>
      </c>
      <c r="Q22" s="38">
        <f t="shared" si="2"/>
        <v>70000000</v>
      </c>
    </row>
    <row r="23" spans="4:17" x14ac:dyDescent="0.25">
      <c r="D23" s="34">
        <v>42244</v>
      </c>
      <c r="E23" s="31">
        <v>19</v>
      </c>
      <c r="F23" s="35">
        <f t="shared" si="3"/>
        <v>1534559.8651721703</v>
      </c>
      <c r="G23" s="35">
        <f t="shared" si="4"/>
        <v>516576.863817818</v>
      </c>
      <c r="H23" s="35">
        <f t="shared" si="5"/>
        <v>1017983.0013543523</v>
      </c>
      <c r="I23" s="35">
        <v>24651</v>
      </c>
      <c r="J23" s="35">
        <f t="shared" si="6"/>
        <v>1559210.8651721703</v>
      </c>
      <c r="K23" s="35">
        <f t="shared" si="7"/>
        <v>52165780.855317779</v>
      </c>
      <c r="L23" s="36">
        <v>9.7130557590840993E-3</v>
      </c>
      <c r="N23" s="31">
        <v>19</v>
      </c>
      <c r="O23" s="38">
        <f t="shared" si="0"/>
        <v>1666666.6666666667</v>
      </c>
      <c r="P23" s="38">
        <f t="shared" si="1"/>
        <v>31666666.666666675</v>
      </c>
      <c r="Q23" s="38">
        <f t="shared" si="2"/>
        <v>68333333.333333328</v>
      </c>
    </row>
    <row r="24" spans="4:17" x14ac:dyDescent="0.25">
      <c r="D24" s="34">
        <v>42275</v>
      </c>
      <c r="E24" s="31">
        <v>20</v>
      </c>
      <c r="F24" s="35">
        <f t="shared" si="3"/>
        <v>1534559.8651721703</v>
      </c>
      <c r="G24" s="35">
        <f t="shared" si="4"/>
        <v>506689.13816386339</v>
      </c>
      <c r="H24" s="35">
        <f t="shared" si="5"/>
        <v>1027870.7270083069</v>
      </c>
      <c r="I24" s="35">
        <v>24651</v>
      </c>
      <c r="J24" s="35">
        <f t="shared" si="6"/>
        <v>1559210.8651721703</v>
      </c>
      <c r="K24" s="35">
        <f t="shared" si="7"/>
        <v>51137910.128309473</v>
      </c>
      <c r="L24" s="36">
        <v>9.7130557590840993E-3</v>
      </c>
      <c r="N24" s="31">
        <v>20</v>
      </c>
      <c r="O24" s="38">
        <f t="shared" si="0"/>
        <v>1666666.6666666667</v>
      </c>
      <c r="P24" s="38">
        <f t="shared" si="1"/>
        <v>33333333.333333343</v>
      </c>
      <c r="Q24" s="38">
        <f t="shared" si="2"/>
        <v>66666666.666666657</v>
      </c>
    </row>
    <row r="25" spans="4:17" x14ac:dyDescent="0.25">
      <c r="D25" s="34">
        <v>42305</v>
      </c>
      <c r="E25" s="31">
        <v>21</v>
      </c>
      <c r="F25" s="35">
        <f t="shared" si="3"/>
        <v>1534559.865172171</v>
      </c>
      <c r="G25" s="35">
        <f t="shared" si="4"/>
        <v>496705.37247930141</v>
      </c>
      <c r="H25" s="35">
        <f t="shared" si="5"/>
        <v>1037854.4926928696</v>
      </c>
      <c r="I25" s="35">
        <v>24651</v>
      </c>
      <c r="J25" s="35">
        <f t="shared" si="6"/>
        <v>1559210.865172171</v>
      </c>
      <c r="K25" s="35">
        <f t="shared" si="7"/>
        <v>50100055.635616601</v>
      </c>
      <c r="L25" s="36">
        <v>9.7130557590840993E-3</v>
      </c>
      <c r="N25" s="31">
        <v>21</v>
      </c>
      <c r="O25" s="38">
        <f t="shared" si="0"/>
        <v>1666666.6666666667</v>
      </c>
      <c r="P25" s="38">
        <f t="shared" si="1"/>
        <v>35000000.000000007</v>
      </c>
      <c r="Q25" s="38">
        <f t="shared" si="2"/>
        <v>64999999.999999993</v>
      </c>
    </row>
    <row r="26" spans="4:17" x14ac:dyDescent="0.25">
      <c r="D26" s="34">
        <v>42336</v>
      </c>
      <c r="E26" s="31">
        <v>22</v>
      </c>
      <c r="F26" s="35">
        <f t="shared" si="3"/>
        <v>1534559.8651721706</v>
      </c>
      <c r="G26" s="35">
        <f t="shared" si="4"/>
        <v>486624.63392195961</v>
      </c>
      <c r="H26" s="35">
        <f t="shared" si="5"/>
        <v>1047935.2312502109</v>
      </c>
      <c r="I26" s="35">
        <v>24651</v>
      </c>
      <c r="J26" s="35">
        <f t="shared" si="6"/>
        <v>1559210.8651721706</v>
      </c>
      <c r="K26" s="35">
        <f t="shared" si="7"/>
        <v>49052120.404366389</v>
      </c>
      <c r="L26" s="36">
        <v>9.7130557590840993E-3</v>
      </c>
      <c r="N26" s="31">
        <v>22</v>
      </c>
      <c r="O26" s="38">
        <f t="shared" si="0"/>
        <v>1666666.6666666667</v>
      </c>
      <c r="P26" s="38">
        <f t="shared" si="1"/>
        <v>36666666.666666672</v>
      </c>
      <c r="Q26" s="38">
        <f t="shared" si="2"/>
        <v>63333333.333333328</v>
      </c>
    </row>
    <row r="27" spans="4:17" x14ac:dyDescent="0.25">
      <c r="D27" s="34">
        <v>42366</v>
      </c>
      <c r="E27" s="31">
        <v>23</v>
      </c>
      <c r="F27" s="35">
        <f t="shared" si="3"/>
        <v>1534559.8651721706</v>
      </c>
      <c r="G27" s="35">
        <f t="shared" si="4"/>
        <v>476445.98058891762</v>
      </c>
      <c r="H27" s="35">
        <f t="shared" si="5"/>
        <v>1058113.8845832529</v>
      </c>
      <c r="I27" s="35">
        <v>24651</v>
      </c>
      <c r="J27" s="35">
        <f t="shared" si="6"/>
        <v>1559210.8651721706</v>
      </c>
      <c r="K27" s="35">
        <f t="shared" si="7"/>
        <v>47994006.519783139</v>
      </c>
      <c r="L27" s="36">
        <v>9.7130557590840993E-3</v>
      </c>
      <c r="N27" s="31">
        <v>23</v>
      </c>
      <c r="O27" s="38">
        <f t="shared" si="0"/>
        <v>1666666.6666666667</v>
      </c>
      <c r="P27" s="38">
        <f t="shared" si="1"/>
        <v>38333333.333333336</v>
      </c>
      <c r="Q27" s="38">
        <f t="shared" si="2"/>
        <v>61666666.666666664</v>
      </c>
    </row>
    <row r="28" spans="4:17" x14ac:dyDescent="0.25">
      <c r="D28" s="34">
        <v>42397</v>
      </c>
      <c r="E28" s="31">
        <v>24</v>
      </c>
      <c r="F28" s="35">
        <f t="shared" si="3"/>
        <v>1534559.8651721706</v>
      </c>
      <c r="G28" s="35">
        <f t="shared" si="4"/>
        <v>466168.46142849943</v>
      </c>
      <c r="H28" s="35">
        <f t="shared" si="5"/>
        <v>1068391.4037436713</v>
      </c>
      <c r="I28" s="35">
        <v>24651</v>
      </c>
      <c r="J28" s="35">
        <f t="shared" si="6"/>
        <v>1559210.8651721706</v>
      </c>
      <c r="K28" s="35">
        <f t="shared" si="7"/>
        <v>46925615.11603947</v>
      </c>
      <c r="L28" s="36">
        <v>9.7130557590840993E-3</v>
      </c>
      <c r="N28" s="31">
        <v>24</v>
      </c>
      <c r="O28" s="38">
        <f t="shared" si="0"/>
        <v>1666666.6666666667</v>
      </c>
      <c r="P28" s="38">
        <f t="shared" si="1"/>
        <v>40000000</v>
      </c>
      <c r="Q28" s="38">
        <f t="shared" si="2"/>
        <v>60000000</v>
      </c>
    </row>
    <row r="29" spans="4:17" x14ac:dyDescent="0.25">
      <c r="D29" s="34">
        <v>42428</v>
      </c>
      <c r="E29" s="31">
        <v>25</v>
      </c>
      <c r="F29" s="35">
        <f t="shared" si="3"/>
        <v>1534559.865172171</v>
      </c>
      <c r="G29" s="35">
        <f t="shared" si="4"/>
        <v>455791.11615141103</v>
      </c>
      <c r="H29" s="35">
        <f t="shared" si="5"/>
        <v>1078768.7490207599</v>
      </c>
      <c r="I29" s="35">
        <v>24651</v>
      </c>
      <c r="J29" s="35">
        <f t="shared" si="6"/>
        <v>1559210.865172171</v>
      </c>
      <c r="K29" s="35">
        <f t="shared" si="7"/>
        <v>45846846.367018707</v>
      </c>
      <c r="L29" s="36">
        <v>9.7130557590840993E-3</v>
      </c>
      <c r="N29" s="31">
        <v>25</v>
      </c>
      <c r="O29" s="38">
        <f t="shared" si="0"/>
        <v>1666666.6666666667</v>
      </c>
      <c r="P29" s="38">
        <f t="shared" si="1"/>
        <v>41666666.666666664</v>
      </c>
      <c r="Q29" s="38">
        <f t="shared" si="2"/>
        <v>58333333.333333336</v>
      </c>
    </row>
    <row r="30" spans="4:17" x14ac:dyDescent="0.25">
      <c r="D30" s="34">
        <v>42457</v>
      </c>
      <c r="E30" s="31">
        <v>26</v>
      </c>
      <c r="F30" s="35">
        <f t="shared" si="3"/>
        <v>1534559.8651721706</v>
      </c>
      <c r="G30" s="35">
        <f t="shared" si="4"/>
        <v>445312.97514101496</v>
      </c>
      <c r="H30" s="35">
        <f t="shared" si="5"/>
        <v>1089246.8900311557</v>
      </c>
      <c r="I30" s="35">
        <v>24651</v>
      </c>
      <c r="J30" s="35">
        <f t="shared" si="6"/>
        <v>1559210.8651721706</v>
      </c>
      <c r="K30" s="35">
        <f t="shared" si="7"/>
        <v>44757599.476987548</v>
      </c>
      <c r="L30" s="36">
        <v>9.7130557590840993E-3</v>
      </c>
      <c r="N30" s="31">
        <v>26</v>
      </c>
      <c r="O30" s="38">
        <f t="shared" si="0"/>
        <v>1666666.6666666667</v>
      </c>
      <c r="P30" s="38">
        <f t="shared" si="1"/>
        <v>43333333.333333328</v>
      </c>
      <c r="Q30" s="38">
        <f t="shared" si="2"/>
        <v>56666666.666666672</v>
      </c>
    </row>
    <row r="31" spans="4:17" x14ac:dyDescent="0.25">
      <c r="D31" s="34">
        <v>42488</v>
      </c>
      <c r="E31" s="31">
        <v>27</v>
      </c>
      <c r="F31" s="35">
        <f t="shared" si="3"/>
        <v>1534559.8651721706</v>
      </c>
      <c r="G31" s="35">
        <f t="shared" si="4"/>
        <v>434733.05936273339</v>
      </c>
      <c r="H31" s="35">
        <f t="shared" si="5"/>
        <v>1099826.8058094373</v>
      </c>
      <c r="I31" s="35">
        <v>24651</v>
      </c>
      <c r="J31" s="35">
        <f t="shared" si="6"/>
        <v>1559210.8651721706</v>
      </c>
      <c r="K31" s="35">
        <f t="shared" si="7"/>
        <v>43657772.67117811</v>
      </c>
      <c r="L31" s="36">
        <v>9.7130557590840993E-3</v>
      </c>
      <c r="N31" s="31">
        <v>27</v>
      </c>
      <c r="O31" s="38">
        <f t="shared" si="0"/>
        <v>1666666.6666666667</v>
      </c>
      <c r="P31" s="38">
        <f t="shared" si="1"/>
        <v>44999999.999999993</v>
      </c>
      <c r="Q31" s="38">
        <f t="shared" si="2"/>
        <v>55000000.000000007</v>
      </c>
    </row>
    <row r="32" spans="4:17" x14ac:dyDescent="0.25">
      <c r="D32" s="34">
        <v>42518</v>
      </c>
      <c r="E32" s="31">
        <v>28</v>
      </c>
      <c r="F32" s="35">
        <f t="shared" si="3"/>
        <v>1534559.8651721703</v>
      </c>
      <c r="G32" s="35">
        <f t="shared" si="4"/>
        <v>424050.38027257094</v>
      </c>
      <c r="H32" s="35">
        <f t="shared" si="5"/>
        <v>1110509.4848995993</v>
      </c>
      <c r="I32" s="35">
        <v>24651</v>
      </c>
      <c r="J32" s="35">
        <f t="shared" si="6"/>
        <v>1559210.8651721703</v>
      </c>
      <c r="K32" s="35">
        <f t="shared" si="7"/>
        <v>42547263.186278507</v>
      </c>
      <c r="L32" s="36">
        <v>9.7130557590840993E-3</v>
      </c>
      <c r="N32" s="31">
        <v>28</v>
      </c>
      <c r="O32" s="38">
        <f t="shared" si="0"/>
        <v>1666666.6666666667</v>
      </c>
      <c r="P32" s="38">
        <f t="shared" si="1"/>
        <v>46666666.666666657</v>
      </c>
      <c r="Q32" s="38">
        <f t="shared" si="2"/>
        <v>53333333.333333343</v>
      </c>
    </row>
    <row r="33" spans="4:17" x14ac:dyDescent="0.25">
      <c r="D33" s="34">
        <v>42549</v>
      </c>
      <c r="E33" s="31">
        <v>29</v>
      </c>
      <c r="F33" s="35">
        <f t="shared" si="3"/>
        <v>1534559.8651721703</v>
      </c>
      <c r="G33" s="35">
        <f t="shared" si="4"/>
        <v>413263.93972474936</v>
      </c>
      <c r="H33" s="35">
        <f t="shared" si="5"/>
        <v>1121295.9254474209</v>
      </c>
      <c r="I33" s="35">
        <v>24651</v>
      </c>
      <c r="J33" s="35">
        <f t="shared" si="6"/>
        <v>1559210.8651721703</v>
      </c>
      <c r="K33" s="35">
        <f t="shared" si="7"/>
        <v>41425967.260831088</v>
      </c>
      <c r="L33" s="36">
        <v>9.7130557590840993E-3</v>
      </c>
      <c r="N33" s="31">
        <v>29</v>
      </c>
      <c r="O33" s="38">
        <f t="shared" si="0"/>
        <v>1666666.6666666667</v>
      </c>
      <c r="P33" s="38">
        <f t="shared" si="1"/>
        <v>48333333.333333321</v>
      </c>
      <c r="Q33" s="38">
        <f t="shared" si="2"/>
        <v>51666666.666666679</v>
      </c>
    </row>
    <row r="34" spans="4:17" x14ac:dyDescent="0.25">
      <c r="D34" s="34">
        <v>42579</v>
      </c>
      <c r="E34" s="31">
        <v>30</v>
      </c>
      <c r="F34" s="35">
        <f t="shared" si="3"/>
        <v>1534559.8651721706</v>
      </c>
      <c r="G34" s="35">
        <f t="shared" si="4"/>
        <v>402372.72987844475</v>
      </c>
      <c r="H34" s="35">
        <f t="shared" si="5"/>
        <v>1132187.1352937259</v>
      </c>
      <c r="I34" s="35">
        <v>24651</v>
      </c>
      <c r="J34" s="35">
        <f t="shared" si="6"/>
        <v>1559210.8651721706</v>
      </c>
      <c r="K34" s="35">
        <f t="shared" si="7"/>
        <v>40293780.125537366</v>
      </c>
      <c r="L34" s="36">
        <v>9.7130557590840993E-3</v>
      </c>
      <c r="N34" s="31">
        <v>30</v>
      </c>
      <c r="O34" s="38">
        <f t="shared" si="0"/>
        <v>1666666.6666666667</v>
      </c>
      <c r="P34" s="38">
        <f t="shared" si="1"/>
        <v>49999999.999999985</v>
      </c>
      <c r="Q34" s="38">
        <f t="shared" si="2"/>
        <v>50000000.000000015</v>
      </c>
    </row>
    <row r="35" spans="4:17" x14ac:dyDescent="0.25">
      <c r="D35" s="34">
        <v>42610</v>
      </c>
      <c r="E35" s="31">
        <v>31</v>
      </c>
      <c r="F35" s="35">
        <f t="shared" si="3"/>
        <v>1534559.8651721703</v>
      </c>
      <c r="G35" s="35">
        <f t="shared" si="4"/>
        <v>391375.73310361913</v>
      </c>
      <c r="H35" s="35">
        <f t="shared" si="5"/>
        <v>1143184.1320685511</v>
      </c>
      <c r="I35" s="35">
        <v>24651</v>
      </c>
      <c r="J35" s="35">
        <f t="shared" si="6"/>
        <v>1559210.8651721703</v>
      </c>
      <c r="K35" s="35">
        <f t="shared" si="7"/>
        <v>39150595.993468814</v>
      </c>
      <c r="L35" s="36">
        <v>9.7130557590840993E-3</v>
      </c>
      <c r="N35" s="31">
        <v>31</v>
      </c>
      <c r="O35" s="38">
        <f t="shared" si="0"/>
        <v>1666666.6666666667</v>
      </c>
      <c r="P35" s="38">
        <f t="shared" si="1"/>
        <v>51666666.666666649</v>
      </c>
      <c r="Q35" s="38">
        <f t="shared" si="2"/>
        <v>48333333.333333351</v>
      </c>
    </row>
    <row r="36" spans="4:17" x14ac:dyDescent="0.25">
      <c r="D36" s="34">
        <v>42641</v>
      </c>
      <c r="E36" s="31">
        <v>32</v>
      </c>
      <c r="F36" s="35">
        <f t="shared" si="3"/>
        <v>1534559.8651721706</v>
      </c>
      <c r="G36" s="35">
        <f t="shared" si="4"/>
        <v>380271.9218859371</v>
      </c>
      <c r="H36" s="35">
        <f t="shared" si="5"/>
        <v>1154287.9432862336</v>
      </c>
      <c r="I36" s="35">
        <v>24651</v>
      </c>
      <c r="J36" s="35">
        <f t="shared" si="6"/>
        <v>1559210.8651721706</v>
      </c>
      <c r="K36" s="35">
        <f t="shared" si="7"/>
        <v>37996308.050182581</v>
      </c>
      <c r="L36" s="36">
        <v>9.7130557590840993E-3</v>
      </c>
      <c r="N36" s="31">
        <v>32</v>
      </c>
      <c r="O36" s="38">
        <f t="shared" si="0"/>
        <v>1666666.6666666667</v>
      </c>
      <c r="P36" s="38">
        <f t="shared" si="1"/>
        <v>53333333.333333313</v>
      </c>
      <c r="Q36" s="38">
        <f t="shared" si="2"/>
        <v>46666666.666666687</v>
      </c>
    </row>
    <row r="37" spans="4:17" x14ac:dyDescent="0.25">
      <c r="D37" s="34">
        <v>42671</v>
      </c>
      <c r="E37" s="31">
        <v>33</v>
      </c>
      <c r="F37" s="35">
        <f t="shared" si="3"/>
        <v>1534559.8651721703</v>
      </c>
      <c r="G37" s="35">
        <f t="shared" si="4"/>
        <v>369060.25873075944</v>
      </c>
      <c r="H37" s="35">
        <f t="shared" si="5"/>
        <v>1165499.606441411</v>
      </c>
      <c r="I37" s="35">
        <v>24651</v>
      </c>
      <c r="J37" s="35">
        <f t="shared" si="6"/>
        <v>1559210.8651721703</v>
      </c>
      <c r="K37" s="35">
        <f t="shared" si="7"/>
        <v>36830808.443741173</v>
      </c>
      <c r="L37" s="36">
        <v>9.7130557590840993E-3</v>
      </c>
      <c r="N37" s="31">
        <v>33</v>
      </c>
      <c r="O37" s="38">
        <f t="shared" si="0"/>
        <v>1666666.6666666667</v>
      </c>
      <c r="P37" s="38">
        <f t="shared" si="1"/>
        <v>54999999.999999978</v>
      </c>
      <c r="Q37" s="38">
        <f t="shared" si="2"/>
        <v>45000000.000000022</v>
      </c>
    </row>
    <row r="38" spans="4:17" x14ac:dyDescent="0.25">
      <c r="D38" s="34">
        <v>42702</v>
      </c>
      <c r="E38" s="31">
        <v>34</v>
      </c>
      <c r="F38" s="35">
        <f t="shared" si="3"/>
        <v>1534559.865172171</v>
      </c>
      <c r="G38" s="35">
        <f t="shared" si="4"/>
        <v>357739.69606620347</v>
      </c>
      <c r="H38" s="35">
        <f t="shared" si="5"/>
        <v>1176820.1691059675</v>
      </c>
      <c r="I38" s="35">
        <v>24651</v>
      </c>
      <c r="J38" s="35">
        <f t="shared" si="6"/>
        <v>1559210.865172171</v>
      </c>
      <c r="K38" s="35">
        <f t="shared" si="7"/>
        <v>35653988.274635203</v>
      </c>
      <c r="L38" s="36">
        <v>9.7130557590840993E-3</v>
      </c>
      <c r="N38" s="31">
        <v>34</v>
      </c>
      <c r="O38" s="38">
        <f t="shared" si="0"/>
        <v>1666666.6666666667</v>
      </c>
      <c r="P38" s="38">
        <f t="shared" si="1"/>
        <v>56666666.666666642</v>
      </c>
      <c r="Q38" s="38">
        <f t="shared" si="2"/>
        <v>43333333.333333358</v>
      </c>
    </row>
    <row r="39" spans="4:17" x14ac:dyDescent="0.25">
      <c r="D39" s="34">
        <v>42732</v>
      </c>
      <c r="E39" s="31">
        <v>35</v>
      </c>
      <c r="F39" s="35">
        <f t="shared" si="3"/>
        <v>1534559.8651721706</v>
      </c>
      <c r="G39" s="35">
        <f t="shared" si="4"/>
        <v>346309.17614526243</v>
      </c>
      <c r="H39" s="35">
        <f t="shared" si="5"/>
        <v>1188250.689026908</v>
      </c>
      <c r="I39" s="35">
        <v>24651</v>
      </c>
      <c r="J39" s="35">
        <f t="shared" si="6"/>
        <v>1559210.8651721706</v>
      </c>
      <c r="K39" s="35">
        <f t="shared" si="7"/>
        <v>34465737.585608296</v>
      </c>
      <c r="L39" s="36">
        <v>9.7130557590840993E-3</v>
      </c>
      <c r="N39" s="31">
        <v>35</v>
      </c>
      <c r="O39" s="38">
        <f t="shared" si="0"/>
        <v>1666666.6666666667</v>
      </c>
      <c r="P39" s="38">
        <f t="shared" si="1"/>
        <v>58333333.333333306</v>
      </c>
      <c r="Q39" s="38">
        <f t="shared" si="2"/>
        <v>41666666.666666694</v>
      </c>
    </row>
    <row r="40" spans="4:17" x14ac:dyDescent="0.25">
      <c r="D40" s="34">
        <v>42763</v>
      </c>
      <c r="E40" s="31">
        <v>36</v>
      </c>
      <c r="F40" s="35">
        <f t="shared" si="3"/>
        <v>1534559.8651721706</v>
      </c>
      <c r="G40" s="35">
        <f t="shared" si="4"/>
        <v>334767.63094697398</v>
      </c>
      <c r="H40" s="35">
        <f t="shared" si="5"/>
        <v>1199792.2342251965</v>
      </c>
      <c r="I40" s="35">
        <v>24651</v>
      </c>
      <c r="J40" s="35">
        <f t="shared" si="6"/>
        <v>1559210.8651721706</v>
      </c>
      <c r="K40" s="35">
        <f t="shared" si="7"/>
        <v>33265945.351383101</v>
      </c>
      <c r="L40" s="36">
        <v>9.7130557590840993E-3</v>
      </c>
      <c r="N40" s="31">
        <v>36</v>
      </c>
      <c r="O40" s="38">
        <f t="shared" si="0"/>
        <v>1666666.6666666667</v>
      </c>
      <c r="P40" s="38">
        <f t="shared" si="1"/>
        <v>59999999.99999997</v>
      </c>
      <c r="Q40" s="38">
        <f t="shared" si="2"/>
        <v>40000000.00000003</v>
      </c>
    </row>
    <row r="41" spans="4:17" x14ac:dyDescent="0.25">
      <c r="D41" s="34">
        <v>42794</v>
      </c>
      <c r="E41" s="31">
        <v>37</v>
      </c>
      <c r="F41" s="35">
        <f t="shared" si="3"/>
        <v>1534559.865172171</v>
      </c>
      <c r="G41" s="35">
        <f t="shared" si="4"/>
        <v>323113.98207662854</v>
      </c>
      <c r="H41" s="35">
        <f t="shared" si="5"/>
        <v>1211445.8830955424</v>
      </c>
      <c r="I41" s="35">
        <v>24651</v>
      </c>
      <c r="J41" s="35">
        <f t="shared" si="6"/>
        <v>1559210.865172171</v>
      </c>
      <c r="K41" s="35">
        <f t="shared" si="7"/>
        <v>32054499.468287557</v>
      </c>
      <c r="L41" s="36">
        <v>9.7130557590840993E-3</v>
      </c>
      <c r="N41" s="31">
        <v>37</v>
      </c>
      <c r="O41" s="38">
        <f t="shared" si="0"/>
        <v>1666666.6666666667</v>
      </c>
      <c r="P41" s="38">
        <f t="shared" si="1"/>
        <v>61666666.666666634</v>
      </c>
      <c r="Q41" s="38">
        <f t="shared" si="2"/>
        <v>38333333.333333366</v>
      </c>
    </row>
    <row r="42" spans="4:17" x14ac:dyDescent="0.25">
      <c r="D42" s="34">
        <v>42822</v>
      </c>
      <c r="E42" s="31">
        <v>38</v>
      </c>
      <c r="F42" s="35">
        <f t="shared" si="3"/>
        <v>1534559.865172171</v>
      </c>
      <c r="G42" s="35">
        <f t="shared" si="4"/>
        <v>311347.14066500869</v>
      </c>
      <c r="H42" s="35">
        <f t="shared" si="5"/>
        <v>1223212.7245071623</v>
      </c>
      <c r="I42" s="35">
        <v>24651</v>
      </c>
      <c r="J42" s="35">
        <f t="shared" si="6"/>
        <v>1559210.865172171</v>
      </c>
      <c r="K42" s="35">
        <f t="shared" si="7"/>
        <v>30831286.743780397</v>
      </c>
      <c r="L42" s="36">
        <v>9.7130557590840993E-3</v>
      </c>
      <c r="N42" s="31">
        <v>38</v>
      </c>
      <c r="O42" s="38">
        <f t="shared" si="0"/>
        <v>1666666.6666666667</v>
      </c>
      <c r="P42" s="38">
        <f t="shared" si="1"/>
        <v>63333333.333333299</v>
      </c>
      <c r="Q42" s="38">
        <f t="shared" si="2"/>
        <v>36666666.666666701</v>
      </c>
    </row>
    <row r="43" spans="4:17" x14ac:dyDescent="0.25">
      <c r="D43" s="34">
        <v>42853</v>
      </c>
      <c r="E43" s="31">
        <v>39</v>
      </c>
      <c r="F43" s="35">
        <f t="shared" si="3"/>
        <v>1534559.8651721706</v>
      </c>
      <c r="G43" s="35">
        <f t="shared" si="4"/>
        <v>299466.00726664945</v>
      </c>
      <c r="H43" s="35">
        <f t="shared" si="5"/>
        <v>1235093.8579055211</v>
      </c>
      <c r="I43" s="35">
        <v>24651</v>
      </c>
      <c r="J43" s="35">
        <f t="shared" si="6"/>
        <v>1559210.8651721706</v>
      </c>
      <c r="K43" s="35">
        <f t="shared" si="7"/>
        <v>29596192.885874875</v>
      </c>
      <c r="L43" s="36">
        <v>9.7130557590840993E-3</v>
      </c>
      <c r="N43" s="31">
        <v>39</v>
      </c>
      <c r="O43" s="38">
        <f t="shared" si="0"/>
        <v>1666666.6666666667</v>
      </c>
      <c r="P43" s="38">
        <f t="shared" si="1"/>
        <v>64999999.999999963</v>
      </c>
      <c r="Q43" s="38">
        <f t="shared" si="2"/>
        <v>35000000.000000037</v>
      </c>
    </row>
    <row r="44" spans="4:17" x14ac:dyDescent="0.25">
      <c r="D44" s="34">
        <v>42883</v>
      </c>
      <c r="E44" s="31">
        <v>40</v>
      </c>
      <c r="F44" s="35">
        <f t="shared" si="3"/>
        <v>1534559.865172171</v>
      </c>
      <c r="G44" s="35">
        <f t="shared" si="4"/>
        <v>287469.47175711079</v>
      </c>
      <c r="H44" s="35">
        <f t="shared" si="5"/>
        <v>1247090.3934150604</v>
      </c>
      <c r="I44" s="35">
        <v>24651</v>
      </c>
      <c r="J44" s="35">
        <f t="shared" si="6"/>
        <v>1559210.865172171</v>
      </c>
      <c r="K44" s="35">
        <f t="shared" si="7"/>
        <v>28349102.492459815</v>
      </c>
      <c r="L44" s="36">
        <v>9.7130557590840993E-3</v>
      </c>
      <c r="N44" s="31">
        <v>40</v>
      </c>
      <c r="O44" s="38">
        <f t="shared" si="0"/>
        <v>1666666.6666666667</v>
      </c>
      <c r="P44" s="38">
        <f t="shared" si="1"/>
        <v>66666666.666666627</v>
      </c>
      <c r="Q44" s="38">
        <f t="shared" si="2"/>
        <v>33333333.333333373</v>
      </c>
    </row>
    <row r="45" spans="4:17" x14ac:dyDescent="0.25">
      <c r="D45" s="34">
        <v>42914</v>
      </c>
      <c r="E45" s="31">
        <v>41</v>
      </c>
      <c r="F45" s="35">
        <f t="shared" si="3"/>
        <v>1534559.865172171</v>
      </c>
      <c r="G45" s="35">
        <f t="shared" si="4"/>
        <v>275356.41322925221</v>
      </c>
      <c r="H45" s="35">
        <f t="shared" si="5"/>
        <v>1259203.4519429188</v>
      </c>
      <c r="I45" s="35">
        <v>24651</v>
      </c>
      <c r="J45" s="35">
        <f t="shared" si="6"/>
        <v>1559210.865172171</v>
      </c>
      <c r="K45" s="35">
        <f t="shared" si="7"/>
        <v>27089899.040516898</v>
      </c>
      <c r="L45" s="36">
        <v>9.7130557590840993E-3</v>
      </c>
      <c r="N45" s="31">
        <v>41</v>
      </c>
      <c r="O45" s="38">
        <f t="shared" si="0"/>
        <v>1666666.6666666667</v>
      </c>
      <c r="P45" s="38">
        <f t="shared" si="1"/>
        <v>68333333.333333299</v>
      </c>
      <c r="Q45" s="38">
        <f t="shared" si="2"/>
        <v>31666666.666666701</v>
      </c>
    </row>
    <row r="46" spans="4:17" x14ac:dyDescent="0.25">
      <c r="D46" s="34">
        <v>42944</v>
      </c>
      <c r="E46" s="31">
        <v>42</v>
      </c>
      <c r="F46" s="35">
        <f t="shared" si="3"/>
        <v>1534559.865172171</v>
      </c>
      <c r="G46" s="35">
        <f t="shared" si="4"/>
        <v>263125.69988849945</v>
      </c>
      <c r="H46" s="35">
        <f t="shared" si="5"/>
        <v>1271434.1652836716</v>
      </c>
      <c r="I46" s="35">
        <v>24651</v>
      </c>
      <c r="J46" s="35">
        <f t="shared" si="6"/>
        <v>1559210.865172171</v>
      </c>
      <c r="K46" s="35">
        <f t="shared" si="7"/>
        <v>25818464.875233226</v>
      </c>
      <c r="L46" s="36">
        <v>9.7130557590840993E-3</v>
      </c>
      <c r="N46" s="31">
        <v>42</v>
      </c>
      <c r="O46" s="38">
        <f t="shared" si="0"/>
        <v>1666666.6666666667</v>
      </c>
      <c r="P46" s="38">
        <f t="shared" si="1"/>
        <v>69999999.99999997</v>
      </c>
      <c r="Q46" s="38">
        <f t="shared" si="2"/>
        <v>30000000.00000003</v>
      </c>
    </row>
    <row r="47" spans="4:17" x14ac:dyDescent="0.25">
      <c r="D47" s="34">
        <v>42975</v>
      </c>
      <c r="E47" s="31">
        <v>43</v>
      </c>
      <c r="F47" s="35">
        <f t="shared" si="3"/>
        <v>1534559.865172171</v>
      </c>
      <c r="G47" s="35">
        <f t="shared" si="4"/>
        <v>250776.1889470946</v>
      </c>
      <c r="H47" s="35">
        <f t="shared" si="5"/>
        <v>1283783.6762250764</v>
      </c>
      <c r="I47" s="35">
        <v>24651</v>
      </c>
      <c r="J47" s="35">
        <f t="shared" si="6"/>
        <v>1559210.865172171</v>
      </c>
      <c r="K47" s="35">
        <f t="shared" si="7"/>
        <v>24534681.199008148</v>
      </c>
      <c r="L47" s="36">
        <v>9.7130557590840993E-3</v>
      </c>
      <c r="N47" s="31">
        <v>43</v>
      </c>
      <c r="O47" s="38">
        <f t="shared" si="0"/>
        <v>1666666.6666666667</v>
      </c>
      <c r="P47" s="38">
        <f t="shared" si="1"/>
        <v>71666666.666666642</v>
      </c>
      <c r="Q47" s="38">
        <f t="shared" si="2"/>
        <v>28333333.333333358</v>
      </c>
    </row>
    <row r="48" spans="4:17" x14ac:dyDescent="0.25">
      <c r="D48" s="34">
        <v>43006</v>
      </c>
      <c r="E48" s="31">
        <v>44</v>
      </c>
      <c r="F48" s="35">
        <f t="shared" si="3"/>
        <v>1534559.8651721706</v>
      </c>
      <c r="G48" s="35">
        <f t="shared" si="4"/>
        <v>238306.72651731846</v>
      </c>
      <c r="H48" s="35">
        <f t="shared" si="5"/>
        <v>1296253.1386548521</v>
      </c>
      <c r="I48" s="35">
        <v>24651</v>
      </c>
      <c r="J48" s="35">
        <f t="shared" si="6"/>
        <v>1559210.8651721706</v>
      </c>
      <c r="K48" s="35">
        <f t="shared" si="7"/>
        <v>23238428.060353298</v>
      </c>
      <c r="L48" s="36">
        <v>9.7130557590840993E-3</v>
      </c>
      <c r="N48" s="31">
        <v>44</v>
      </c>
      <c r="O48" s="38">
        <f t="shared" si="0"/>
        <v>1666666.6666666667</v>
      </c>
      <c r="P48" s="38">
        <f t="shared" si="1"/>
        <v>73333333.333333313</v>
      </c>
      <c r="Q48" s="38">
        <f t="shared" si="2"/>
        <v>26666666.666666687</v>
      </c>
    </row>
    <row r="49" spans="4:17" x14ac:dyDescent="0.25">
      <c r="D49" s="34">
        <v>43036</v>
      </c>
      <c r="E49" s="31">
        <v>45</v>
      </c>
      <c r="F49" s="35">
        <f t="shared" si="3"/>
        <v>1534559.8651721706</v>
      </c>
      <c r="G49" s="35">
        <f t="shared" si="4"/>
        <v>225716.14750367613</v>
      </c>
      <c r="H49" s="35">
        <f t="shared" si="5"/>
        <v>1308843.7176684944</v>
      </c>
      <c r="I49" s="35">
        <v>24651</v>
      </c>
      <c r="J49" s="35">
        <f t="shared" si="6"/>
        <v>1559210.8651721706</v>
      </c>
      <c r="K49" s="35">
        <f t="shared" si="7"/>
        <v>21929584.342684802</v>
      </c>
      <c r="L49" s="36">
        <v>9.7130557590840993E-3</v>
      </c>
      <c r="N49" s="31">
        <v>45</v>
      </c>
      <c r="O49" s="38">
        <f t="shared" si="0"/>
        <v>1666666.6666666667</v>
      </c>
      <c r="P49" s="38">
        <f t="shared" si="1"/>
        <v>74999999.999999985</v>
      </c>
      <c r="Q49" s="38">
        <f t="shared" si="2"/>
        <v>25000000.000000015</v>
      </c>
    </row>
    <row r="50" spans="4:17" x14ac:dyDescent="0.25">
      <c r="D50" s="34">
        <v>43067</v>
      </c>
      <c r="E50" s="31">
        <v>46</v>
      </c>
      <c r="F50" s="35">
        <f t="shared" si="3"/>
        <v>1534559.865172171</v>
      </c>
      <c r="G50" s="35">
        <f t="shared" si="4"/>
        <v>213003.2754940351</v>
      </c>
      <c r="H50" s="35">
        <f t="shared" si="5"/>
        <v>1321556.5896781359</v>
      </c>
      <c r="I50" s="35">
        <v>24651</v>
      </c>
      <c r="J50" s="35">
        <f t="shared" si="6"/>
        <v>1559210.865172171</v>
      </c>
      <c r="K50" s="35">
        <f t="shared" si="7"/>
        <v>20608027.753006667</v>
      </c>
      <c r="L50" s="36">
        <v>9.7130557590840993E-3</v>
      </c>
      <c r="N50" s="31">
        <v>46</v>
      </c>
      <c r="O50" s="38">
        <f t="shared" si="0"/>
        <v>1666666.6666666667</v>
      </c>
      <c r="P50" s="38">
        <f t="shared" si="1"/>
        <v>76666666.666666657</v>
      </c>
      <c r="Q50" s="38">
        <f t="shared" si="2"/>
        <v>23333333.333333343</v>
      </c>
    </row>
    <row r="51" spans="4:17" x14ac:dyDescent="0.25">
      <c r="D51" s="34">
        <v>43097</v>
      </c>
      <c r="E51" s="31">
        <v>47</v>
      </c>
      <c r="F51" s="35">
        <f t="shared" si="3"/>
        <v>1534559.865172171</v>
      </c>
      <c r="G51" s="35">
        <f t="shared" si="4"/>
        <v>200166.92264970636</v>
      </c>
      <c r="H51" s="35">
        <f t="shared" si="5"/>
        <v>1334392.9425224648</v>
      </c>
      <c r="I51" s="35">
        <v>24651</v>
      </c>
      <c r="J51" s="35">
        <f t="shared" si="6"/>
        <v>1559210.865172171</v>
      </c>
      <c r="K51" s="35">
        <f t="shared" si="7"/>
        <v>19273634.810484201</v>
      </c>
      <c r="L51" s="36">
        <v>9.7130557590840993E-3</v>
      </c>
      <c r="N51" s="31">
        <v>47</v>
      </c>
      <c r="O51" s="38">
        <f t="shared" si="0"/>
        <v>1666666.6666666667</v>
      </c>
      <c r="P51" s="38">
        <f t="shared" si="1"/>
        <v>78333333.333333328</v>
      </c>
      <c r="Q51" s="38">
        <f t="shared" si="2"/>
        <v>21666666.666666672</v>
      </c>
    </row>
    <row r="52" spans="4:17" x14ac:dyDescent="0.25">
      <c r="D52" s="34">
        <v>43128</v>
      </c>
      <c r="E52" s="31">
        <v>48</v>
      </c>
      <c r="F52" s="35">
        <f t="shared" si="3"/>
        <v>1534559.8651721706</v>
      </c>
      <c r="G52" s="35">
        <f t="shared" si="4"/>
        <v>187205.88959445735</v>
      </c>
      <c r="H52" s="35">
        <f t="shared" si="5"/>
        <v>1347353.9755777132</v>
      </c>
      <c r="I52" s="35">
        <v>24651</v>
      </c>
      <c r="J52" s="35">
        <f t="shared" si="6"/>
        <v>1559210.8651721706</v>
      </c>
      <c r="K52" s="35">
        <f t="shared" si="7"/>
        <v>17926280.834906489</v>
      </c>
      <c r="L52" s="36">
        <v>9.7130557590840993E-3</v>
      </c>
      <c r="N52" s="31">
        <v>48</v>
      </c>
      <c r="O52" s="38">
        <f t="shared" si="0"/>
        <v>1666666.6666666667</v>
      </c>
      <c r="P52" s="38">
        <f t="shared" si="1"/>
        <v>80000000</v>
      </c>
      <c r="Q52" s="38">
        <f t="shared" si="2"/>
        <v>20000000</v>
      </c>
    </row>
    <row r="53" spans="4:17" x14ac:dyDescent="0.25">
      <c r="D53" s="34">
        <v>43159</v>
      </c>
      <c r="E53" s="31">
        <v>49</v>
      </c>
      <c r="F53" s="35">
        <f t="shared" si="3"/>
        <v>1534559.865172171</v>
      </c>
      <c r="G53" s="35">
        <f t="shared" si="4"/>
        <v>174118.96530244738</v>
      </c>
      <c r="H53" s="35">
        <f t="shared" si="5"/>
        <v>1360440.8998697237</v>
      </c>
      <c r="I53" s="35">
        <v>24651</v>
      </c>
      <c r="J53" s="35">
        <f t="shared" si="6"/>
        <v>1559210.865172171</v>
      </c>
      <c r="K53" s="35">
        <f t="shared" si="7"/>
        <v>16565839.935036765</v>
      </c>
      <c r="L53" s="36">
        <v>9.7130557590840993E-3</v>
      </c>
      <c r="N53" s="31">
        <v>49</v>
      </c>
      <c r="O53" s="38">
        <f t="shared" si="0"/>
        <v>1666666.6666666667</v>
      </c>
      <c r="P53" s="38">
        <f t="shared" si="1"/>
        <v>81666666.666666672</v>
      </c>
      <c r="Q53" s="38">
        <f t="shared" si="2"/>
        <v>18333333.333333328</v>
      </c>
    </row>
    <row r="54" spans="4:17" x14ac:dyDescent="0.25">
      <c r="D54" s="34">
        <v>43187</v>
      </c>
      <c r="E54" s="31">
        <v>50</v>
      </c>
      <c r="F54" s="35">
        <f t="shared" si="3"/>
        <v>1534559.8651721706</v>
      </c>
      <c r="G54" s="35">
        <f t="shared" si="4"/>
        <v>160904.92698507421</v>
      </c>
      <c r="H54" s="35">
        <f t="shared" si="5"/>
        <v>1373654.9381870963</v>
      </c>
      <c r="I54" s="35">
        <v>24651</v>
      </c>
      <c r="J54" s="35">
        <f t="shared" si="6"/>
        <v>1559210.8651721706</v>
      </c>
      <c r="K54" s="35">
        <f t="shared" si="7"/>
        <v>15192184.996849669</v>
      </c>
      <c r="L54" s="36">
        <v>9.7130557590840993E-3</v>
      </c>
      <c r="N54" s="31">
        <v>50</v>
      </c>
      <c r="O54" s="38">
        <f t="shared" si="0"/>
        <v>1666666.6666666667</v>
      </c>
      <c r="P54" s="38">
        <f t="shared" si="1"/>
        <v>83333333.333333343</v>
      </c>
      <c r="Q54" s="38">
        <f t="shared" si="2"/>
        <v>16666666.666666657</v>
      </c>
    </row>
    <row r="55" spans="4:17" x14ac:dyDescent="0.25">
      <c r="D55" s="34">
        <v>43218</v>
      </c>
      <c r="E55" s="31">
        <v>51</v>
      </c>
      <c r="F55" s="35">
        <f t="shared" si="3"/>
        <v>1534559.865172171</v>
      </c>
      <c r="G55" s="35">
        <f t="shared" si="4"/>
        <v>147562.53997672172</v>
      </c>
      <c r="H55" s="35">
        <f t="shared" si="5"/>
        <v>1386997.3251954494</v>
      </c>
      <c r="I55" s="35">
        <v>24651</v>
      </c>
      <c r="J55" s="35">
        <f t="shared" si="6"/>
        <v>1559210.865172171</v>
      </c>
      <c r="K55" s="35">
        <f t="shared" si="7"/>
        <v>13805187.671654221</v>
      </c>
      <c r="L55" s="36">
        <v>9.7130557590840993E-3</v>
      </c>
      <c r="N55" s="31">
        <v>51</v>
      </c>
      <c r="O55" s="38">
        <f t="shared" si="0"/>
        <v>1666666.6666666667</v>
      </c>
      <c r="P55" s="38">
        <f t="shared" si="1"/>
        <v>85000000.000000015</v>
      </c>
      <c r="Q55" s="38">
        <f t="shared" si="2"/>
        <v>14999999.999999985</v>
      </c>
    </row>
    <row r="56" spans="4:17" x14ac:dyDescent="0.25">
      <c r="D56" s="34">
        <v>43248</v>
      </c>
      <c r="E56" s="31">
        <v>52</v>
      </c>
      <c r="F56" s="35">
        <f t="shared" si="3"/>
        <v>1534559.865172171</v>
      </c>
      <c r="G56" s="35">
        <f t="shared" si="4"/>
        <v>134090.55761939785</v>
      </c>
      <c r="H56" s="35">
        <f t="shared" si="5"/>
        <v>1400469.3075527733</v>
      </c>
      <c r="I56" s="35">
        <v>24651</v>
      </c>
      <c r="J56" s="35">
        <f t="shared" si="6"/>
        <v>1559210.865172171</v>
      </c>
      <c r="K56" s="35">
        <f t="shared" si="7"/>
        <v>12404718.364101447</v>
      </c>
      <c r="L56" s="36">
        <v>9.7130557590840993E-3</v>
      </c>
      <c r="N56" s="31">
        <v>52</v>
      </c>
      <c r="O56" s="38">
        <f t="shared" si="0"/>
        <v>1666666.6666666667</v>
      </c>
      <c r="P56" s="38">
        <f t="shared" si="1"/>
        <v>86666666.666666687</v>
      </c>
      <c r="Q56" s="38">
        <f t="shared" si="2"/>
        <v>13333333.333333313</v>
      </c>
    </row>
    <row r="57" spans="4:17" x14ac:dyDescent="0.25">
      <c r="D57" s="34">
        <v>43279</v>
      </c>
      <c r="E57" s="31">
        <v>53</v>
      </c>
      <c r="F57" s="35">
        <f t="shared" si="3"/>
        <v>1534559.865172171</v>
      </c>
      <c r="G57" s="35">
        <f t="shared" si="4"/>
        <v>120487.72114625185</v>
      </c>
      <c r="H57" s="35">
        <f t="shared" si="5"/>
        <v>1414072.1440259193</v>
      </c>
      <c r="I57" s="35">
        <v>24651</v>
      </c>
      <c r="J57" s="35">
        <f t="shared" si="6"/>
        <v>1559210.865172171</v>
      </c>
      <c r="K57" s="35">
        <f t="shared" si="7"/>
        <v>10990646.220075527</v>
      </c>
      <c r="L57" s="36">
        <v>9.7130557590840993E-3</v>
      </c>
      <c r="N57" s="31">
        <v>53</v>
      </c>
      <c r="O57" s="38">
        <f t="shared" si="0"/>
        <v>1666666.6666666667</v>
      </c>
      <c r="P57" s="38">
        <f t="shared" si="1"/>
        <v>88333333.333333358</v>
      </c>
      <c r="Q57" s="38">
        <f t="shared" si="2"/>
        <v>11666666.666666642</v>
      </c>
    </row>
    <row r="58" spans="4:17" x14ac:dyDescent="0.25">
      <c r="D58" s="34">
        <v>43309</v>
      </c>
      <c r="E58" s="31">
        <v>54</v>
      </c>
      <c r="F58" s="35">
        <f t="shared" si="3"/>
        <v>1534559.8651721706</v>
      </c>
      <c r="G58" s="35">
        <f t="shared" si="4"/>
        <v>106752.75956396048</v>
      </c>
      <c r="H58" s="35">
        <f t="shared" si="5"/>
        <v>1427807.10560821</v>
      </c>
      <c r="I58" s="35">
        <v>24651</v>
      </c>
      <c r="J58" s="35">
        <f t="shared" si="6"/>
        <v>1559210.8651721706</v>
      </c>
      <c r="K58" s="35">
        <f t="shared" si="7"/>
        <v>9562839.1144673172</v>
      </c>
      <c r="L58" s="36">
        <v>9.7130557590840993E-3</v>
      </c>
      <c r="N58" s="31">
        <v>54</v>
      </c>
      <c r="O58" s="38">
        <f t="shared" si="0"/>
        <v>1666666.6666666667</v>
      </c>
      <c r="P58" s="38">
        <f t="shared" si="1"/>
        <v>90000000.00000003</v>
      </c>
      <c r="Q58" s="38">
        <f t="shared" si="2"/>
        <v>9999999.9999999702</v>
      </c>
    </row>
    <row r="59" spans="4:17" x14ac:dyDescent="0.25">
      <c r="D59" s="34">
        <v>43340</v>
      </c>
      <c r="E59" s="31">
        <v>55</v>
      </c>
      <c r="F59" s="35">
        <f t="shared" si="3"/>
        <v>1534559.8651721706</v>
      </c>
      <c r="G59" s="35">
        <f t="shared" si="4"/>
        <v>92884.389533971465</v>
      </c>
      <c r="H59" s="35">
        <f t="shared" si="5"/>
        <v>1441675.4756381991</v>
      </c>
      <c r="I59" s="35">
        <v>24651</v>
      </c>
      <c r="J59" s="35">
        <f t="shared" si="6"/>
        <v>1559210.8651721706</v>
      </c>
      <c r="K59" s="35">
        <f t="shared" si="7"/>
        <v>8121163.6388291176</v>
      </c>
      <c r="L59" s="36">
        <v>9.7130557590840993E-3</v>
      </c>
      <c r="N59" s="31">
        <v>55</v>
      </c>
      <c r="O59" s="38">
        <f t="shared" si="0"/>
        <v>1666666.6666666667</v>
      </c>
      <c r="P59" s="38">
        <f t="shared" si="1"/>
        <v>91666666.666666701</v>
      </c>
      <c r="Q59" s="38">
        <f t="shared" si="2"/>
        <v>8333333.3333332986</v>
      </c>
    </row>
    <row r="60" spans="4:17" x14ac:dyDescent="0.25">
      <c r="D60" s="34">
        <v>43371</v>
      </c>
      <c r="E60" s="31">
        <v>56</v>
      </c>
      <c r="F60" s="35">
        <f t="shared" si="3"/>
        <v>1534559.8651721703</v>
      </c>
      <c r="G60" s="35">
        <f t="shared" si="4"/>
        <v>78881.315252593544</v>
      </c>
      <c r="H60" s="35">
        <f t="shared" si="5"/>
        <v>1455678.5499195768</v>
      </c>
      <c r="I60" s="35">
        <v>24651</v>
      </c>
      <c r="J60" s="35">
        <f t="shared" si="6"/>
        <v>1559210.8651721703</v>
      </c>
      <c r="K60" s="35">
        <f t="shared" si="7"/>
        <v>6665485.0889095403</v>
      </c>
      <c r="L60" s="36">
        <v>9.7130557590840993E-3</v>
      </c>
      <c r="N60" s="31">
        <v>56</v>
      </c>
      <c r="O60" s="38">
        <f t="shared" si="0"/>
        <v>1666666.6666666667</v>
      </c>
      <c r="P60" s="38">
        <f t="shared" si="1"/>
        <v>93333333.333333373</v>
      </c>
      <c r="Q60" s="38">
        <f t="shared" si="2"/>
        <v>6666666.6666666269</v>
      </c>
    </row>
    <row r="61" spans="4:17" x14ac:dyDescent="0.25">
      <c r="D61" s="34">
        <v>43401</v>
      </c>
      <c r="E61" s="31">
        <v>57</v>
      </c>
      <c r="F61" s="35">
        <f t="shared" si="3"/>
        <v>1534559.8651721703</v>
      </c>
      <c r="G61" s="35">
        <f t="shared" si="4"/>
        <v>64742.228329922</v>
      </c>
      <c r="H61" s="35">
        <f t="shared" si="5"/>
        <v>1469817.6368422483</v>
      </c>
      <c r="I61" s="35">
        <v>24651</v>
      </c>
      <c r="J61" s="35">
        <f t="shared" si="6"/>
        <v>1559210.8651721703</v>
      </c>
      <c r="K61" s="35">
        <f t="shared" si="7"/>
        <v>5195667.4520672923</v>
      </c>
      <c r="L61" s="36">
        <v>9.7130557590840993E-3</v>
      </c>
      <c r="N61" s="31">
        <v>57</v>
      </c>
      <c r="O61" s="38">
        <f t="shared" si="0"/>
        <v>1666666.6666666667</v>
      </c>
      <c r="P61" s="38">
        <f t="shared" si="1"/>
        <v>95000000.000000045</v>
      </c>
      <c r="Q61" s="38">
        <f t="shared" si="2"/>
        <v>4999999.9999999553</v>
      </c>
    </row>
    <row r="62" spans="4:17" x14ac:dyDescent="0.25">
      <c r="D62" s="34">
        <v>43432</v>
      </c>
      <c r="E62" s="31">
        <v>58</v>
      </c>
      <c r="F62" s="35">
        <f t="shared" si="3"/>
        <v>1534559.8651721703</v>
      </c>
      <c r="G62" s="35">
        <f t="shared" si="4"/>
        <v>50465.807667588022</v>
      </c>
      <c r="H62" s="35">
        <f t="shared" si="5"/>
        <v>1484094.0575045822</v>
      </c>
      <c r="I62" s="35">
        <v>24651</v>
      </c>
      <c r="J62" s="35">
        <f t="shared" si="6"/>
        <v>1559210.8651721703</v>
      </c>
      <c r="K62" s="35">
        <f t="shared" si="7"/>
        <v>3711573.3945627101</v>
      </c>
      <c r="L62" s="36">
        <v>9.7130557590840993E-3</v>
      </c>
      <c r="N62" s="31">
        <v>58</v>
      </c>
      <c r="O62" s="38">
        <f t="shared" si="0"/>
        <v>1666666.6666666667</v>
      </c>
      <c r="P62" s="38">
        <f t="shared" si="1"/>
        <v>96666666.666666716</v>
      </c>
      <c r="Q62" s="38">
        <f t="shared" si="2"/>
        <v>3333333.3333332837</v>
      </c>
    </row>
    <row r="63" spans="4:17" x14ac:dyDescent="0.25">
      <c r="D63" s="34">
        <v>43462</v>
      </c>
      <c r="E63" s="31">
        <v>59</v>
      </c>
      <c r="F63" s="35">
        <f t="shared" si="3"/>
        <v>1534559.8651721703</v>
      </c>
      <c r="G63" s="35">
        <f t="shared" si="4"/>
        <v>36050.719335320653</v>
      </c>
      <c r="H63" s="35">
        <f t="shared" si="5"/>
        <v>1498509.1458368497</v>
      </c>
      <c r="I63" s="35">
        <v>24651</v>
      </c>
      <c r="J63" s="35">
        <f t="shared" si="6"/>
        <v>1559210.8651721703</v>
      </c>
      <c r="K63" s="35">
        <f t="shared" si="7"/>
        <v>2213064.2487258604</v>
      </c>
      <c r="L63" s="36">
        <v>9.7130557590840993E-3</v>
      </c>
      <c r="N63" s="31">
        <v>59</v>
      </c>
      <c r="O63" s="38">
        <f t="shared" si="0"/>
        <v>1666666.6666666667</v>
      </c>
      <c r="P63" s="38">
        <f t="shared" si="1"/>
        <v>98333333.333333388</v>
      </c>
      <c r="Q63" s="38">
        <f t="shared" si="2"/>
        <v>1666666.666666612</v>
      </c>
    </row>
    <row r="64" spans="4:17" x14ac:dyDescent="0.25">
      <c r="D64" s="34">
        <v>43493</v>
      </c>
      <c r="E64" s="31">
        <v>60</v>
      </c>
      <c r="F64" s="35">
        <f t="shared" si="3"/>
        <v>1534559.8651721703</v>
      </c>
      <c r="G64" s="35">
        <f t="shared" si="4"/>
        <v>21495.616446309843</v>
      </c>
      <c r="H64" s="35">
        <f t="shared" si="5"/>
        <v>1513064.2487258604</v>
      </c>
      <c r="I64" s="35">
        <v>24651</v>
      </c>
      <c r="J64" s="35">
        <f>+F64+I64+K64</f>
        <v>2259210.8651721701</v>
      </c>
      <c r="K64" s="35">
        <f t="shared" si="7"/>
        <v>700000</v>
      </c>
      <c r="L64" s="36">
        <v>9.7130557590840993E-3</v>
      </c>
      <c r="N64" s="31">
        <v>60</v>
      </c>
      <c r="O64" s="38">
        <f t="shared" si="0"/>
        <v>1666666.6666666667</v>
      </c>
      <c r="P64" s="38">
        <f t="shared" si="1"/>
        <v>100000000.00000006</v>
      </c>
      <c r="Q64" s="38">
        <f t="shared" si="2"/>
        <v>0</v>
      </c>
    </row>
  </sheetData>
  <mergeCells count="2">
    <mergeCell ref="D2:L2"/>
    <mergeCell ref="N2:Q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4"/>
  <sheetViews>
    <sheetView workbookViewId="0">
      <selection activeCell="B10" sqref="B10"/>
    </sheetView>
  </sheetViews>
  <sheetFormatPr baseColWidth="10" defaultRowHeight="15" x14ac:dyDescent="0.25"/>
  <cols>
    <col min="1" max="1" width="20.85546875" customWidth="1"/>
    <col min="2" max="2" width="15.140625" bestFit="1" customWidth="1"/>
    <col min="3" max="3" width="13.140625" bestFit="1" customWidth="1"/>
    <col min="5" max="5" width="5" customWidth="1"/>
    <col min="6" max="6" width="14" bestFit="1" customWidth="1"/>
    <col min="7" max="7" width="11.5703125" bestFit="1" customWidth="1"/>
    <col min="8" max="8" width="13.140625" bestFit="1" customWidth="1"/>
    <col min="9" max="10" width="13.140625" customWidth="1"/>
    <col min="11" max="11" width="14.140625" bestFit="1" customWidth="1"/>
    <col min="14" max="14" width="8.42578125" style="26" bestFit="1" customWidth="1"/>
    <col min="15" max="15" width="13.140625" bestFit="1" customWidth="1"/>
    <col min="16" max="16" width="12.5703125" bestFit="1" customWidth="1"/>
    <col min="17" max="17" width="13.85546875" bestFit="1" customWidth="1"/>
    <col min="21" max="21" width="12.5703125" bestFit="1" customWidth="1"/>
    <col min="22" max="22" width="13.140625" bestFit="1" customWidth="1"/>
  </cols>
  <sheetData>
    <row r="2" spans="1:17" x14ac:dyDescent="0.25">
      <c r="A2" t="s">
        <v>14</v>
      </c>
      <c r="B2" s="14">
        <v>41667</v>
      </c>
      <c r="D2" s="130" t="s">
        <v>105</v>
      </c>
      <c r="E2" s="130"/>
      <c r="F2" s="130"/>
      <c r="G2" s="130"/>
      <c r="H2" s="130"/>
      <c r="I2" s="130"/>
      <c r="J2" s="130"/>
      <c r="K2" s="130"/>
      <c r="L2" s="130"/>
      <c r="N2" s="130" t="s">
        <v>106</v>
      </c>
      <c r="O2" s="130"/>
      <c r="P2" s="130"/>
      <c r="Q2" s="130"/>
    </row>
    <row r="3" spans="1:17" x14ac:dyDescent="0.25">
      <c r="A3" s="14" t="s">
        <v>15</v>
      </c>
      <c r="B3" s="14">
        <v>43493</v>
      </c>
      <c r="D3" s="29"/>
      <c r="E3" s="29"/>
      <c r="F3" s="29" t="s">
        <v>16</v>
      </c>
      <c r="G3" s="29" t="s">
        <v>17</v>
      </c>
      <c r="H3" s="29" t="s">
        <v>18</v>
      </c>
      <c r="I3" s="29" t="s">
        <v>91</v>
      </c>
      <c r="J3" s="29" t="s">
        <v>92</v>
      </c>
      <c r="K3" s="29" t="s">
        <v>21</v>
      </c>
      <c r="L3" s="29"/>
      <c r="N3" s="41" t="s">
        <v>22</v>
      </c>
      <c r="O3" s="29" t="s">
        <v>31</v>
      </c>
      <c r="P3" s="29" t="s">
        <v>32</v>
      </c>
      <c r="Q3" s="29" t="s">
        <v>24</v>
      </c>
    </row>
    <row r="4" spans="1:17" x14ac:dyDescent="0.25">
      <c r="A4" t="s">
        <v>90</v>
      </c>
      <c r="B4" s="4">
        <v>60</v>
      </c>
      <c r="D4" s="31"/>
      <c r="E4" s="31"/>
      <c r="F4" s="31"/>
      <c r="G4" s="31"/>
      <c r="H4" s="31"/>
      <c r="I4" s="31"/>
      <c r="J4" s="31"/>
      <c r="K4" s="33">
        <f>+B7</f>
        <v>90000000</v>
      </c>
      <c r="L4" s="31"/>
      <c r="N4" s="39"/>
      <c r="O4" s="31"/>
      <c r="P4" s="31"/>
      <c r="Q4" s="33">
        <f>+B5-P4</f>
        <v>100000000</v>
      </c>
    </row>
    <row r="5" spans="1:17" x14ac:dyDescent="0.25">
      <c r="A5" t="s">
        <v>26</v>
      </c>
      <c r="B5" s="4">
        <v>100000000</v>
      </c>
      <c r="D5" s="34">
        <v>41698</v>
      </c>
      <c r="E5" s="31">
        <v>1</v>
      </c>
      <c r="F5" s="35">
        <f>+PMT(L5,'Contrato 9311'!B4-E4,-K4,B8)</f>
        <v>1958657.6438127852</v>
      </c>
      <c r="G5" s="35">
        <f>+K4*L5</f>
        <v>846798.3243008526</v>
      </c>
      <c r="H5" s="35">
        <f>+F5-G5</f>
        <v>1111859.3195119326</v>
      </c>
      <c r="I5" s="35">
        <v>295811</v>
      </c>
      <c r="J5" s="35">
        <f>+F5+I5</f>
        <v>2254468.6438127849</v>
      </c>
      <c r="K5" s="35">
        <f>+K4-H5</f>
        <v>88888140.680488065</v>
      </c>
      <c r="L5" s="36">
        <v>9.4088702700094728E-3</v>
      </c>
      <c r="M5" s="16"/>
      <c r="N5" s="40">
        <v>1</v>
      </c>
      <c r="O5" s="38">
        <f>+$B$5/$B$4</f>
        <v>1666666.6666666667</v>
      </c>
      <c r="P5" s="38">
        <f>+O5+P4</f>
        <v>1666666.6666666667</v>
      </c>
      <c r="Q5" s="33">
        <f>$Q$4-P5</f>
        <v>98333333.333333328</v>
      </c>
    </row>
    <row r="6" spans="1:17" x14ac:dyDescent="0.25">
      <c r="A6" t="s">
        <v>27</v>
      </c>
      <c r="B6" s="4">
        <v>10000000</v>
      </c>
      <c r="D6" s="34">
        <v>41726</v>
      </c>
      <c r="E6" s="31">
        <v>2</v>
      </c>
      <c r="F6" s="35">
        <f>+PMT(L6,$B$4-E5,-K5,$B$8)</f>
        <v>1950709.8924731701</v>
      </c>
      <c r="G6" s="35">
        <f>+K5*L6</f>
        <v>823151.45231093897</v>
      </c>
      <c r="H6" s="35">
        <f>+F6-G6</f>
        <v>1127558.4401622312</v>
      </c>
      <c r="I6" s="35">
        <v>295811</v>
      </c>
      <c r="J6" s="35">
        <f t="shared" ref="J6:J64" si="0">+F6+I6</f>
        <v>2246520.8924731701</v>
      </c>
      <c r="K6" s="35">
        <f>+K5-H6</f>
        <v>87760582.240325838</v>
      </c>
      <c r="L6" s="36">
        <v>9.2605317875844584E-3</v>
      </c>
      <c r="M6" s="16"/>
      <c r="N6" s="40">
        <v>2</v>
      </c>
      <c r="O6" s="38">
        <f t="shared" ref="O6:O64" si="1">+$B$5/$B$4</f>
        <v>1666666.6666666667</v>
      </c>
      <c r="P6" s="38">
        <f>+O6+P5</f>
        <v>3333333.3333333335</v>
      </c>
      <c r="Q6" s="33">
        <f t="shared" ref="Q6:Q64" si="2">$Q$4-P6</f>
        <v>96666666.666666672</v>
      </c>
    </row>
    <row r="7" spans="1:17" x14ac:dyDescent="0.25">
      <c r="A7" t="s">
        <v>28</v>
      </c>
      <c r="B7" s="4">
        <f>+B5-B6</f>
        <v>90000000</v>
      </c>
      <c r="D7" s="34">
        <v>41757</v>
      </c>
      <c r="E7" s="31">
        <v>3</v>
      </c>
      <c r="F7" s="35">
        <f t="shared" ref="F7:F64" si="3">+PMT(L7,$B$4-E6,-K6,$B$8)</f>
        <v>1947666.2795538341</v>
      </c>
      <c r="G7" s="35">
        <f t="shared" ref="G7:G64" si="4">+K6*L7</f>
        <v>807641.45114528469</v>
      </c>
      <c r="H7" s="35">
        <f t="shared" ref="H7:H64" si="5">+F7-G7</f>
        <v>1140024.8284085495</v>
      </c>
      <c r="I7" s="35">
        <v>295811</v>
      </c>
      <c r="J7" s="35">
        <f t="shared" si="0"/>
        <v>2243477.2795538343</v>
      </c>
      <c r="K7" s="35">
        <f t="shared" ref="K7:K64" si="6">+K6-H7</f>
        <v>86620557.411917284</v>
      </c>
      <c r="L7" s="36">
        <v>9.202781368674362E-3</v>
      </c>
      <c r="M7" s="16"/>
      <c r="N7" s="40">
        <v>3</v>
      </c>
      <c r="O7" s="38">
        <f t="shared" si="1"/>
        <v>1666666.6666666667</v>
      </c>
      <c r="P7" s="38">
        <f t="shared" ref="P7:P64" si="7">+O7+P6</f>
        <v>5000000</v>
      </c>
      <c r="Q7" s="33">
        <f t="shared" si="2"/>
        <v>95000000</v>
      </c>
    </row>
    <row r="8" spans="1:17" x14ac:dyDescent="0.25">
      <c r="A8" t="s">
        <v>29</v>
      </c>
      <c r="B8" s="4">
        <f>+B7*1%</f>
        <v>900000</v>
      </c>
      <c r="D8" s="34">
        <v>41787</v>
      </c>
      <c r="E8" s="31">
        <v>4</v>
      </c>
      <c r="F8" s="35">
        <f t="shared" si="3"/>
        <v>1948950.9306478717</v>
      </c>
      <c r="G8" s="35">
        <f t="shared" si="4"/>
        <v>799294.30232367746</v>
      </c>
      <c r="H8" s="35">
        <f t="shared" si="5"/>
        <v>1149656.6283241943</v>
      </c>
      <c r="I8" s="35">
        <v>295811</v>
      </c>
      <c r="J8" s="35">
        <f t="shared" si="0"/>
        <v>2244761.9306478715</v>
      </c>
      <c r="K8" s="35">
        <f t="shared" si="6"/>
        <v>85470900.783593088</v>
      </c>
      <c r="L8" s="36">
        <v>9.2275358899238658E-3</v>
      </c>
      <c r="M8" s="16"/>
      <c r="N8" s="40">
        <v>4</v>
      </c>
      <c r="O8" s="38">
        <f t="shared" si="1"/>
        <v>1666666.6666666667</v>
      </c>
      <c r="P8" s="38">
        <f t="shared" si="7"/>
        <v>6666666.666666667</v>
      </c>
      <c r="Q8" s="33">
        <f t="shared" si="2"/>
        <v>93333333.333333328</v>
      </c>
    </row>
    <row r="9" spans="1:17" x14ac:dyDescent="0.25">
      <c r="A9" t="s">
        <v>30</v>
      </c>
      <c r="B9" s="18">
        <f>+PMT(L5,'Contrato 9311'!B4,-'Contrato 9311'!B7,B8)</f>
        <v>1958657.6438127852</v>
      </c>
      <c r="D9" s="34">
        <v>41818</v>
      </c>
      <c r="E9" s="31">
        <v>5</v>
      </c>
      <c r="F9" s="35">
        <f t="shared" si="3"/>
        <v>1954855.7116121822</v>
      </c>
      <c r="G9" s="35">
        <f t="shared" si="4"/>
        <v>798552.14148444345</v>
      </c>
      <c r="H9" s="35">
        <f t="shared" si="5"/>
        <v>1156303.5701277386</v>
      </c>
      <c r="I9" s="35">
        <v>295811</v>
      </c>
      <c r="J9" s="35">
        <f t="shared" si="0"/>
        <v>2250666.7116121822</v>
      </c>
      <c r="K9" s="35">
        <f t="shared" si="6"/>
        <v>84314597.213465348</v>
      </c>
      <c r="L9" s="36">
        <v>9.3429709311982911E-3</v>
      </c>
      <c r="M9" s="16"/>
      <c r="N9" s="40">
        <v>5</v>
      </c>
      <c r="O9" s="38">
        <f t="shared" si="1"/>
        <v>1666666.6666666667</v>
      </c>
      <c r="P9" s="38">
        <f t="shared" si="7"/>
        <v>8333333.333333334</v>
      </c>
      <c r="Q9" s="33">
        <f t="shared" si="2"/>
        <v>91666666.666666672</v>
      </c>
    </row>
    <row r="10" spans="1:17" x14ac:dyDescent="0.25">
      <c r="D10" s="34">
        <v>41848</v>
      </c>
      <c r="E10" s="31">
        <v>6</v>
      </c>
      <c r="F10" s="35">
        <f t="shared" si="3"/>
        <v>1959424.6190511719</v>
      </c>
      <c r="G10" s="35">
        <f t="shared" si="4"/>
        <v>795387.7076332696</v>
      </c>
      <c r="H10" s="35">
        <f t="shared" si="5"/>
        <v>1164036.9114179024</v>
      </c>
      <c r="I10" s="35">
        <v>295811</v>
      </c>
      <c r="J10" s="35">
        <f t="shared" si="0"/>
        <v>2255235.6190511719</v>
      </c>
      <c r="K10" s="35">
        <f t="shared" si="6"/>
        <v>83150560.302047446</v>
      </c>
      <c r="L10" s="36">
        <v>9.433570626205201E-3</v>
      </c>
      <c r="M10" s="16"/>
      <c r="N10" s="40">
        <v>6</v>
      </c>
      <c r="O10" s="38">
        <f t="shared" si="1"/>
        <v>1666666.6666666667</v>
      </c>
      <c r="P10" s="38">
        <f t="shared" si="7"/>
        <v>10000000</v>
      </c>
      <c r="Q10" s="33">
        <f t="shared" si="2"/>
        <v>90000000</v>
      </c>
    </row>
    <row r="11" spans="1:17" x14ac:dyDescent="0.25">
      <c r="D11" s="34">
        <v>41879</v>
      </c>
      <c r="E11" s="31">
        <v>7</v>
      </c>
      <c r="F11" s="35">
        <f t="shared" si="3"/>
        <v>1960651.1316791952</v>
      </c>
      <c r="G11" s="35">
        <f t="shared" si="4"/>
        <v>786459.99260299501</v>
      </c>
      <c r="H11" s="35">
        <f t="shared" si="5"/>
        <v>1174191.1390762003</v>
      </c>
      <c r="I11" s="35">
        <v>295811</v>
      </c>
      <c r="J11" s="35">
        <f t="shared" si="0"/>
        <v>2256462.131679195</v>
      </c>
      <c r="K11" s="35">
        <f t="shared" si="6"/>
        <v>81976369.162971243</v>
      </c>
      <c r="L11" s="36">
        <v>9.4582644993148612E-3</v>
      </c>
      <c r="M11" s="16"/>
      <c r="N11" s="40">
        <v>7</v>
      </c>
      <c r="O11" s="38">
        <f t="shared" si="1"/>
        <v>1666666.6666666667</v>
      </c>
      <c r="P11" s="38">
        <f t="shared" si="7"/>
        <v>11666666.666666666</v>
      </c>
      <c r="Q11" s="33">
        <f t="shared" si="2"/>
        <v>88333333.333333328</v>
      </c>
    </row>
    <row r="12" spans="1:17" x14ac:dyDescent="0.25">
      <c r="D12" s="34">
        <v>41910</v>
      </c>
      <c r="E12" s="31">
        <v>8</v>
      </c>
      <c r="F12" s="35">
        <f t="shared" si="3"/>
        <v>1966685.7601668024</v>
      </c>
      <c r="G12" s="35">
        <f t="shared" si="4"/>
        <v>785467.79087133636</v>
      </c>
      <c r="H12" s="35">
        <f t="shared" si="5"/>
        <v>1181217.9692954661</v>
      </c>
      <c r="I12" s="35">
        <v>295811</v>
      </c>
      <c r="J12" s="35">
        <f t="shared" si="0"/>
        <v>2262496.7601668024</v>
      </c>
      <c r="K12" s="35">
        <f t="shared" si="6"/>
        <v>80795151.193675771</v>
      </c>
      <c r="L12" s="36">
        <v>9.581636743508426E-3</v>
      </c>
      <c r="M12" s="16"/>
      <c r="N12" s="40">
        <v>8</v>
      </c>
      <c r="O12" s="38">
        <f t="shared" si="1"/>
        <v>1666666.6666666667</v>
      </c>
      <c r="P12" s="38">
        <f t="shared" si="7"/>
        <v>13333333.333333332</v>
      </c>
      <c r="Q12" s="33">
        <f t="shared" si="2"/>
        <v>86666666.666666672</v>
      </c>
    </row>
    <row r="13" spans="1:17" x14ac:dyDescent="0.25">
      <c r="D13" s="34">
        <v>41940</v>
      </c>
      <c r="E13" s="31">
        <v>9</v>
      </c>
      <c r="F13" s="35">
        <f t="shared" si="3"/>
        <v>1973414.8774929668</v>
      </c>
      <c r="G13" s="35">
        <f t="shared" si="4"/>
        <v>785430.94273359177</v>
      </c>
      <c r="H13" s="35">
        <f t="shared" si="5"/>
        <v>1187983.9347593752</v>
      </c>
      <c r="I13" s="35">
        <v>295811</v>
      </c>
      <c r="J13" s="35">
        <f t="shared" si="0"/>
        <v>2269225.8774929671</v>
      </c>
      <c r="K13" s="35">
        <f t="shared" si="6"/>
        <v>79607167.258916393</v>
      </c>
      <c r="L13" s="36">
        <v>9.7212633571390761E-3</v>
      </c>
      <c r="M13" s="16"/>
      <c r="N13" s="40">
        <v>9</v>
      </c>
      <c r="O13" s="38">
        <f t="shared" si="1"/>
        <v>1666666.6666666667</v>
      </c>
      <c r="P13" s="38">
        <f t="shared" si="7"/>
        <v>14999999.999999998</v>
      </c>
      <c r="Q13" s="33">
        <f t="shared" si="2"/>
        <v>85000000</v>
      </c>
    </row>
    <row r="14" spans="1:17" x14ac:dyDescent="0.25">
      <c r="D14" s="34">
        <v>41971</v>
      </c>
      <c r="E14" s="31">
        <v>10</v>
      </c>
      <c r="F14" s="35">
        <f t="shared" si="3"/>
        <v>1971857.9577140769</v>
      </c>
      <c r="G14" s="35">
        <f t="shared" si="4"/>
        <v>771268.36154620314</v>
      </c>
      <c r="H14" s="35">
        <f t="shared" si="5"/>
        <v>1200589.5961678736</v>
      </c>
      <c r="I14" s="35">
        <v>295811</v>
      </c>
      <c r="J14" s="35">
        <f t="shared" si="0"/>
        <v>2267668.9577140771</v>
      </c>
      <c r="K14" s="35">
        <f t="shared" si="6"/>
        <v>78406577.662748516</v>
      </c>
      <c r="L14" s="36">
        <v>9.6884286692140442E-3</v>
      </c>
      <c r="M14" s="16"/>
      <c r="N14" s="40">
        <v>10</v>
      </c>
      <c r="O14" s="38">
        <f t="shared" si="1"/>
        <v>1666666.6666666667</v>
      </c>
      <c r="P14" s="38">
        <f t="shared" si="7"/>
        <v>16666666.666666664</v>
      </c>
      <c r="Q14" s="33">
        <f t="shared" si="2"/>
        <v>83333333.333333343</v>
      </c>
    </row>
    <row r="15" spans="1:17" x14ac:dyDescent="0.25">
      <c r="B15" s="15"/>
      <c r="D15" s="118">
        <v>42001</v>
      </c>
      <c r="E15" s="119">
        <v>11</v>
      </c>
      <c r="F15" s="120">
        <f t="shared" si="3"/>
        <v>1973005.5409356477</v>
      </c>
      <c r="G15" s="120">
        <f t="shared" si="4"/>
        <v>761567.46071723418</v>
      </c>
      <c r="H15" s="120">
        <f t="shared" si="5"/>
        <v>1211438.0802184134</v>
      </c>
      <c r="I15" s="120">
        <v>295811</v>
      </c>
      <c r="J15" s="120">
        <f t="shared" si="0"/>
        <v>2268816.5409356477</v>
      </c>
      <c r="K15" s="120">
        <f t="shared" si="6"/>
        <v>77195139.582530096</v>
      </c>
      <c r="L15" s="121">
        <v>9.7130557590840993E-3</v>
      </c>
      <c r="M15" s="27"/>
      <c r="N15" s="122">
        <v>11</v>
      </c>
      <c r="O15" s="123">
        <f t="shared" si="1"/>
        <v>1666666.6666666667</v>
      </c>
      <c r="P15" s="123">
        <f t="shared" si="7"/>
        <v>18333333.333333332</v>
      </c>
      <c r="Q15" s="124">
        <f t="shared" si="2"/>
        <v>81666666.666666672</v>
      </c>
    </row>
    <row r="16" spans="1:17" x14ac:dyDescent="0.25">
      <c r="C16" s="17"/>
      <c r="D16" s="34">
        <v>42032</v>
      </c>
      <c r="E16" s="31">
        <v>12</v>
      </c>
      <c r="F16" s="35">
        <f t="shared" si="3"/>
        <v>1973005.5409356477</v>
      </c>
      <c r="G16" s="35">
        <f t="shared" si="4"/>
        <v>749800.69509539485</v>
      </c>
      <c r="H16" s="35">
        <f t="shared" si="5"/>
        <v>1223204.8458402529</v>
      </c>
      <c r="I16" s="35">
        <v>295811</v>
      </c>
      <c r="J16" s="35">
        <f t="shared" si="0"/>
        <v>2268816.5409356477</v>
      </c>
      <c r="K16" s="37">
        <f t="shared" si="6"/>
        <v>75971934.736689836</v>
      </c>
      <c r="L16" s="36">
        <v>9.7130557590840993E-3</v>
      </c>
      <c r="M16" s="16"/>
      <c r="N16" s="40">
        <v>12</v>
      </c>
      <c r="O16" s="38">
        <f t="shared" si="1"/>
        <v>1666666.6666666667</v>
      </c>
      <c r="P16" s="38">
        <f t="shared" si="7"/>
        <v>20000000</v>
      </c>
      <c r="Q16" s="33">
        <f t="shared" si="2"/>
        <v>80000000</v>
      </c>
    </row>
    <row r="17" spans="2:17" x14ac:dyDescent="0.25">
      <c r="C17" s="15"/>
      <c r="D17" s="34">
        <v>42063</v>
      </c>
      <c r="E17" s="31">
        <v>13</v>
      </c>
      <c r="F17" s="35">
        <f t="shared" si="3"/>
        <v>1973005.5409356477</v>
      </c>
      <c r="G17" s="35">
        <f t="shared" si="4"/>
        <v>737919.63822296658</v>
      </c>
      <c r="H17" s="35">
        <f t="shared" si="5"/>
        <v>1235085.9027126811</v>
      </c>
      <c r="I17" s="35">
        <v>295811</v>
      </c>
      <c r="J17" s="35">
        <f t="shared" si="0"/>
        <v>2268816.5409356477</v>
      </c>
      <c r="K17" s="35">
        <f t="shared" si="6"/>
        <v>74736848.833977148</v>
      </c>
      <c r="L17" s="36">
        <v>9.7130557590840993E-3</v>
      </c>
      <c r="M17" s="16"/>
      <c r="N17" s="40">
        <v>13</v>
      </c>
      <c r="O17" s="38">
        <f t="shared" si="1"/>
        <v>1666666.6666666667</v>
      </c>
      <c r="P17" s="38">
        <f t="shared" si="7"/>
        <v>21666666.666666668</v>
      </c>
      <c r="Q17" s="33">
        <f t="shared" si="2"/>
        <v>78333333.333333328</v>
      </c>
    </row>
    <row r="18" spans="2:17" x14ac:dyDescent="0.25">
      <c r="C18" s="20"/>
      <c r="D18" s="34">
        <v>42091</v>
      </c>
      <c r="E18" s="31">
        <v>14</v>
      </c>
      <c r="F18" s="35">
        <f t="shared" si="3"/>
        <v>1973005.5409356474</v>
      </c>
      <c r="G18" s="35">
        <f t="shared" si="4"/>
        <v>725923.17998265952</v>
      </c>
      <c r="H18" s="35">
        <f t="shared" si="5"/>
        <v>1247082.3609529878</v>
      </c>
      <c r="I18" s="35">
        <v>295811</v>
      </c>
      <c r="J18" s="35">
        <f t="shared" si="0"/>
        <v>2268816.5409356477</v>
      </c>
      <c r="K18" s="35">
        <f t="shared" si="6"/>
        <v>73489766.47302416</v>
      </c>
      <c r="L18" s="36">
        <v>9.7130557590840993E-3</v>
      </c>
      <c r="M18" s="16"/>
      <c r="N18" s="40">
        <v>14</v>
      </c>
      <c r="O18" s="38">
        <f t="shared" si="1"/>
        <v>1666666.6666666667</v>
      </c>
      <c r="P18" s="38">
        <f t="shared" si="7"/>
        <v>23333333.333333336</v>
      </c>
      <c r="Q18" s="33">
        <f t="shared" si="2"/>
        <v>76666666.666666657</v>
      </c>
    </row>
    <row r="19" spans="2:17" x14ac:dyDescent="0.25">
      <c r="B19" s="15"/>
      <c r="C19" s="15"/>
      <c r="D19" s="34">
        <v>42122</v>
      </c>
      <c r="E19" s="31">
        <v>15</v>
      </c>
      <c r="F19" s="35">
        <f t="shared" si="3"/>
        <v>1973005.540935647</v>
      </c>
      <c r="G19" s="35">
        <f t="shared" si="4"/>
        <v>713810.19947455288</v>
      </c>
      <c r="H19" s="35">
        <f t="shared" si="5"/>
        <v>1259195.3414610941</v>
      </c>
      <c r="I19" s="35">
        <v>295811</v>
      </c>
      <c r="J19" s="35">
        <f t="shared" si="0"/>
        <v>2268816.5409356467</v>
      </c>
      <c r="K19" s="35">
        <f t="shared" si="6"/>
        <v>72230571.131563067</v>
      </c>
      <c r="L19" s="36">
        <v>9.7130557590840993E-3</v>
      </c>
      <c r="M19" s="16"/>
      <c r="N19" s="40">
        <v>15</v>
      </c>
      <c r="O19" s="38">
        <f t="shared" si="1"/>
        <v>1666666.6666666667</v>
      </c>
      <c r="P19" s="38">
        <f t="shared" si="7"/>
        <v>25000000.000000004</v>
      </c>
      <c r="Q19" s="33">
        <f t="shared" si="2"/>
        <v>75000000</v>
      </c>
    </row>
    <row r="20" spans="2:17" x14ac:dyDescent="0.25">
      <c r="D20" s="34">
        <v>42152</v>
      </c>
      <c r="E20" s="31">
        <v>16</v>
      </c>
      <c r="F20" s="35">
        <f t="shared" si="3"/>
        <v>1973005.5409356477</v>
      </c>
      <c r="G20" s="35">
        <f t="shared" si="4"/>
        <v>701579.56491136237</v>
      </c>
      <c r="H20" s="35">
        <f t="shared" si="5"/>
        <v>1271425.9760242854</v>
      </c>
      <c r="I20" s="35">
        <v>295811</v>
      </c>
      <c r="J20" s="35">
        <f t="shared" si="0"/>
        <v>2268816.5409356477</v>
      </c>
      <c r="K20" s="35">
        <f t="shared" si="6"/>
        <v>70959145.155538782</v>
      </c>
      <c r="L20" s="36">
        <v>9.7130557590840993E-3</v>
      </c>
      <c r="M20" s="16"/>
      <c r="N20" s="40">
        <v>16</v>
      </c>
      <c r="O20" s="38">
        <f t="shared" si="1"/>
        <v>1666666.6666666667</v>
      </c>
      <c r="P20" s="38">
        <f t="shared" si="7"/>
        <v>26666666.666666672</v>
      </c>
      <c r="Q20" s="33">
        <f t="shared" si="2"/>
        <v>73333333.333333328</v>
      </c>
    </row>
    <row r="21" spans="2:17" x14ac:dyDescent="0.25">
      <c r="D21" s="34">
        <v>42183</v>
      </c>
      <c r="E21" s="31">
        <v>17</v>
      </c>
      <c r="F21" s="35">
        <f t="shared" si="3"/>
        <v>1973005.5409356474</v>
      </c>
      <c r="G21" s="35">
        <f t="shared" si="4"/>
        <v>689230.13351269055</v>
      </c>
      <c r="H21" s="35">
        <f t="shared" si="5"/>
        <v>1283775.407422957</v>
      </c>
      <c r="I21" s="35">
        <v>295811</v>
      </c>
      <c r="J21" s="35">
        <f t="shared" si="0"/>
        <v>2268816.5409356477</v>
      </c>
      <c r="K21" s="35">
        <f t="shared" si="6"/>
        <v>69675369.748115823</v>
      </c>
      <c r="L21" s="36">
        <v>9.7130557590840993E-3</v>
      </c>
      <c r="M21" s="16"/>
      <c r="N21" s="40">
        <v>17</v>
      </c>
      <c r="O21" s="38">
        <f t="shared" si="1"/>
        <v>1666666.6666666667</v>
      </c>
      <c r="P21" s="38">
        <f t="shared" si="7"/>
        <v>28333333.33333334</v>
      </c>
      <c r="Q21" s="33">
        <f t="shared" si="2"/>
        <v>71666666.666666657</v>
      </c>
    </row>
    <row r="22" spans="2:17" x14ac:dyDescent="0.25">
      <c r="D22" s="34">
        <v>42213</v>
      </c>
      <c r="E22" s="31">
        <v>18</v>
      </c>
      <c r="F22" s="35">
        <f t="shared" si="3"/>
        <v>1973005.5409356474</v>
      </c>
      <c r="G22" s="35">
        <f t="shared" si="4"/>
        <v>676760.75139825046</v>
      </c>
      <c r="H22" s="35">
        <f t="shared" si="5"/>
        <v>1296244.789537397</v>
      </c>
      <c r="I22" s="35">
        <v>295811</v>
      </c>
      <c r="J22" s="35">
        <f t="shared" si="0"/>
        <v>2268816.5409356477</v>
      </c>
      <c r="K22" s="35">
        <f t="shared" si="6"/>
        <v>68379124.958578423</v>
      </c>
      <c r="L22" s="36">
        <v>9.7130557590840993E-3</v>
      </c>
      <c r="M22" s="16"/>
      <c r="N22" s="40">
        <v>18</v>
      </c>
      <c r="O22" s="38">
        <f t="shared" si="1"/>
        <v>1666666.6666666667</v>
      </c>
      <c r="P22" s="38">
        <f t="shared" si="7"/>
        <v>30000000.000000007</v>
      </c>
      <c r="Q22" s="33">
        <f t="shared" si="2"/>
        <v>70000000</v>
      </c>
    </row>
    <row r="23" spans="2:17" x14ac:dyDescent="0.25">
      <c r="D23" s="34">
        <v>42244</v>
      </c>
      <c r="E23" s="31">
        <v>19</v>
      </c>
      <c r="F23" s="35">
        <f t="shared" si="3"/>
        <v>1973005.5409356467</v>
      </c>
      <c r="G23" s="35">
        <f t="shared" si="4"/>
        <v>664170.25348005141</v>
      </c>
      <c r="H23" s="35">
        <f t="shared" si="5"/>
        <v>1308835.2874555953</v>
      </c>
      <c r="I23" s="35">
        <v>295811</v>
      </c>
      <c r="J23" s="35">
        <f t="shared" si="0"/>
        <v>2268816.5409356467</v>
      </c>
      <c r="K23" s="35">
        <f t="shared" si="6"/>
        <v>67070289.671122827</v>
      </c>
      <c r="L23" s="36">
        <v>9.7130557590840993E-3</v>
      </c>
      <c r="M23" s="16"/>
      <c r="N23" s="40">
        <v>19</v>
      </c>
      <c r="O23" s="38">
        <f t="shared" si="1"/>
        <v>1666666.6666666667</v>
      </c>
      <c r="P23" s="38">
        <f t="shared" si="7"/>
        <v>31666666.666666675</v>
      </c>
      <c r="Q23" s="33">
        <f t="shared" si="2"/>
        <v>68333333.333333328</v>
      </c>
    </row>
    <row r="24" spans="2:17" x14ac:dyDescent="0.25">
      <c r="D24" s="34">
        <v>42275</v>
      </c>
      <c r="E24" s="31">
        <v>20</v>
      </c>
      <c r="F24" s="35">
        <f t="shared" si="3"/>
        <v>1973005.5409356467</v>
      </c>
      <c r="G24" s="35">
        <f t="shared" si="4"/>
        <v>651457.4633535383</v>
      </c>
      <c r="H24" s="35">
        <f t="shared" si="5"/>
        <v>1321548.0775821083</v>
      </c>
      <c r="I24" s="35">
        <v>295811</v>
      </c>
      <c r="J24" s="35">
        <f t="shared" si="0"/>
        <v>2268816.5409356467</v>
      </c>
      <c r="K24" s="35">
        <f t="shared" si="6"/>
        <v>65748741.593540721</v>
      </c>
      <c r="L24" s="36">
        <v>9.7130557590840993E-3</v>
      </c>
      <c r="M24" s="16"/>
      <c r="N24" s="40">
        <v>20</v>
      </c>
      <c r="O24" s="38">
        <f t="shared" si="1"/>
        <v>1666666.6666666667</v>
      </c>
      <c r="P24" s="38">
        <f t="shared" si="7"/>
        <v>33333333.333333343</v>
      </c>
      <c r="Q24" s="33">
        <f t="shared" si="2"/>
        <v>66666666.666666657</v>
      </c>
    </row>
    <row r="25" spans="2:17" x14ac:dyDescent="0.25">
      <c r="D25" s="34">
        <v>42305</v>
      </c>
      <c r="E25" s="31">
        <v>21</v>
      </c>
      <c r="F25" s="35">
        <f t="shared" si="3"/>
        <v>1973005.5409356477</v>
      </c>
      <c r="G25" s="35">
        <f t="shared" si="4"/>
        <v>638621.19318767299</v>
      </c>
      <c r="H25" s="35">
        <f t="shared" si="5"/>
        <v>1334384.3477479746</v>
      </c>
      <c r="I25" s="35">
        <v>295811</v>
      </c>
      <c r="J25" s="35">
        <f t="shared" si="0"/>
        <v>2268816.5409356477</v>
      </c>
      <c r="K25" s="35">
        <f t="shared" si="6"/>
        <v>64414357.245792747</v>
      </c>
      <c r="L25" s="36">
        <v>9.7130557590840993E-3</v>
      </c>
      <c r="M25" s="16"/>
      <c r="N25" s="40">
        <v>21</v>
      </c>
      <c r="O25" s="38">
        <f t="shared" si="1"/>
        <v>1666666.6666666667</v>
      </c>
      <c r="P25" s="38">
        <f t="shared" si="7"/>
        <v>35000000.000000007</v>
      </c>
      <c r="Q25" s="33">
        <f t="shared" si="2"/>
        <v>64999999.999999993</v>
      </c>
    </row>
    <row r="26" spans="2:17" x14ac:dyDescent="0.25">
      <c r="D26" s="34">
        <v>42336</v>
      </c>
      <c r="E26" s="31">
        <v>22</v>
      </c>
      <c r="F26" s="35">
        <f t="shared" si="3"/>
        <v>1973005.540935647</v>
      </c>
      <c r="G26" s="35">
        <f t="shared" si="4"/>
        <v>625660.24361394776</v>
      </c>
      <c r="H26" s="35">
        <f t="shared" si="5"/>
        <v>1347345.2973216991</v>
      </c>
      <c r="I26" s="35">
        <v>295811</v>
      </c>
      <c r="J26" s="35">
        <f t="shared" si="0"/>
        <v>2268816.5409356467</v>
      </c>
      <c r="K26" s="35">
        <f t="shared" si="6"/>
        <v>63067011.948471047</v>
      </c>
      <c r="L26" s="36">
        <v>9.7130557590840993E-3</v>
      </c>
      <c r="M26" s="16"/>
      <c r="N26" s="40">
        <v>22</v>
      </c>
      <c r="O26" s="38">
        <f t="shared" si="1"/>
        <v>1666666.6666666667</v>
      </c>
      <c r="P26" s="38">
        <f t="shared" si="7"/>
        <v>36666666.666666672</v>
      </c>
      <c r="Q26" s="33">
        <f t="shared" si="2"/>
        <v>63333333.333333328</v>
      </c>
    </row>
    <row r="27" spans="2:17" x14ac:dyDescent="0.25">
      <c r="D27" s="34">
        <v>42366</v>
      </c>
      <c r="E27" s="31">
        <v>23</v>
      </c>
      <c r="F27" s="35">
        <f t="shared" si="3"/>
        <v>1973005.540935647</v>
      </c>
      <c r="G27" s="35">
        <f t="shared" si="4"/>
        <v>612573.40361432242</v>
      </c>
      <c r="H27" s="35">
        <f t="shared" si="5"/>
        <v>1360432.1373213246</v>
      </c>
      <c r="I27" s="35">
        <v>295811</v>
      </c>
      <c r="J27" s="35">
        <f t="shared" si="0"/>
        <v>2268816.5409356467</v>
      </c>
      <c r="K27" s="35">
        <f t="shared" si="6"/>
        <v>61706579.811149724</v>
      </c>
      <c r="L27" s="36">
        <v>9.7130557590840993E-3</v>
      </c>
      <c r="M27" s="16"/>
      <c r="N27" s="40">
        <v>23</v>
      </c>
      <c r="O27" s="38">
        <f t="shared" si="1"/>
        <v>1666666.6666666667</v>
      </c>
      <c r="P27" s="38">
        <f t="shared" si="7"/>
        <v>38333333.333333336</v>
      </c>
      <c r="Q27" s="33">
        <f t="shared" si="2"/>
        <v>61666666.666666664</v>
      </c>
    </row>
    <row r="28" spans="2:17" x14ac:dyDescent="0.25">
      <c r="D28" s="34">
        <v>42397</v>
      </c>
      <c r="E28" s="31">
        <v>24</v>
      </c>
      <c r="F28" s="35">
        <f t="shared" si="3"/>
        <v>1973005.540935647</v>
      </c>
      <c r="G28" s="35">
        <f t="shared" si="4"/>
        <v>599359.45040807046</v>
      </c>
      <c r="H28" s="35">
        <f t="shared" si="5"/>
        <v>1373646.0905275764</v>
      </c>
      <c r="I28" s="35">
        <v>295811</v>
      </c>
      <c r="J28" s="35">
        <f t="shared" si="0"/>
        <v>2268816.5409356467</v>
      </c>
      <c r="K28" s="35">
        <f t="shared" si="6"/>
        <v>60332933.720622145</v>
      </c>
      <c r="L28" s="36">
        <v>9.7130557590840993E-3</v>
      </c>
      <c r="M28" s="16"/>
      <c r="N28" s="40">
        <v>24</v>
      </c>
      <c r="O28" s="38">
        <f t="shared" si="1"/>
        <v>1666666.6666666667</v>
      </c>
      <c r="P28" s="38">
        <f t="shared" si="7"/>
        <v>40000000</v>
      </c>
      <c r="Q28" s="33">
        <f t="shared" si="2"/>
        <v>60000000</v>
      </c>
    </row>
    <row r="29" spans="2:17" x14ac:dyDescent="0.25">
      <c r="D29" s="34">
        <v>42428</v>
      </c>
      <c r="E29" s="31">
        <v>25</v>
      </c>
      <c r="F29" s="35">
        <f t="shared" si="3"/>
        <v>1973005.5409356474</v>
      </c>
      <c r="G29" s="35">
        <f t="shared" si="4"/>
        <v>586017.14933752816</v>
      </c>
      <c r="H29" s="35">
        <f t="shared" si="5"/>
        <v>1386988.3915981194</v>
      </c>
      <c r="I29" s="35">
        <v>295811</v>
      </c>
      <c r="J29" s="35">
        <f t="shared" si="0"/>
        <v>2268816.5409356477</v>
      </c>
      <c r="K29" s="35">
        <f t="shared" si="6"/>
        <v>58945945.329024024</v>
      </c>
      <c r="L29" s="36">
        <v>9.7130557590840993E-3</v>
      </c>
      <c r="M29" s="16"/>
      <c r="N29" s="40">
        <v>25</v>
      </c>
      <c r="O29" s="38">
        <f t="shared" si="1"/>
        <v>1666666.6666666667</v>
      </c>
      <c r="P29" s="38">
        <f t="shared" si="7"/>
        <v>41666666.666666664</v>
      </c>
      <c r="Q29" s="33">
        <f t="shared" si="2"/>
        <v>58333333.333333336</v>
      </c>
    </row>
    <row r="30" spans="2:17" x14ac:dyDescent="0.25">
      <c r="D30" s="34">
        <v>42457</v>
      </c>
      <c r="E30" s="31">
        <v>26</v>
      </c>
      <c r="F30" s="35">
        <f t="shared" si="3"/>
        <v>1973005.540935647</v>
      </c>
      <c r="G30" s="35">
        <f t="shared" si="4"/>
        <v>572545.25375273323</v>
      </c>
      <c r="H30" s="35">
        <f t="shared" si="5"/>
        <v>1400460.2871829136</v>
      </c>
      <c r="I30" s="35">
        <v>295811</v>
      </c>
      <c r="J30" s="35">
        <f t="shared" si="0"/>
        <v>2268816.5409356467</v>
      </c>
      <c r="K30" s="35">
        <f t="shared" si="6"/>
        <v>57545485.041841112</v>
      </c>
      <c r="L30" s="36">
        <v>9.7130557590840993E-3</v>
      </c>
      <c r="M30" s="16"/>
      <c r="N30" s="40">
        <v>26</v>
      </c>
      <c r="O30" s="38">
        <f t="shared" si="1"/>
        <v>1666666.6666666667</v>
      </c>
      <c r="P30" s="38">
        <f t="shared" si="7"/>
        <v>43333333.333333328</v>
      </c>
      <c r="Q30" s="33">
        <f t="shared" si="2"/>
        <v>56666666.666666672</v>
      </c>
    </row>
    <row r="31" spans="2:17" x14ac:dyDescent="0.25">
      <c r="D31" s="34">
        <v>42488</v>
      </c>
      <c r="E31" s="31">
        <v>27</v>
      </c>
      <c r="F31" s="35">
        <f t="shared" si="3"/>
        <v>1973005.5409356474</v>
      </c>
      <c r="G31" s="35">
        <f t="shared" si="4"/>
        <v>558942.50489494274</v>
      </c>
      <c r="H31" s="35">
        <f t="shared" si="5"/>
        <v>1414063.0360407047</v>
      </c>
      <c r="I31" s="35">
        <v>295811</v>
      </c>
      <c r="J31" s="35">
        <f t="shared" si="0"/>
        <v>2268816.5409356477</v>
      </c>
      <c r="K31" s="35">
        <f t="shared" si="6"/>
        <v>56131422.005800411</v>
      </c>
      <c r="L31" s="36">
        <v>9.7130557590840993E-3</v>
      </c>
      <c r="M31" s="16"/>
      <c r="N31" s="40">
        <v>27</v>
      </c>
      <c r="O31" s="38">
        <f t="shared" si="1"/>
        <v>1666666.6666666667</v>
      </c>
      <c r="P31" s="38">
        <f t="shared" si="7"/>
        <v>44999999.999999993</v>
      </c>
      <c r="Q31" s="33">
        <f t="shared" si="2"/>
        <v>55000000.000000007</v>
      </c>
    </row>
    <row r="32" spans="2:17" x14ac:dyDescent="0.25">
      <c r="D32" s="34">
        <v>42518</v>
      </c>
      <c r="E32" s="31">
        <v>28</v>
      </c>
      <c r="F32" s="35">
        <f t="shared" si="3"/>
        <v>1973005.540935647</v>
      </c>
      <c r="G32" s="35">
        <f t="shared" si="4"/>
        <v>545207.6317790196</v>
      </c>
      <c r="H32" s="35">
        <f t="shared" si="5"/>
        <v>1427797.9091566275</v>
      </c>
      <c r="I32" s="35">
        <v>295811</v>
      </c>
      <c r="J32" s="35">
        <f t="shared" si="0"/>
        <v>2268816.5409356467</v>
      </c>
      <c r="K32" s="35">
        <f t="shared" si="6"/>
        <v>54703624.096643783</v>
      </c>
      <c r="L32" s="36">
        <v>9.7130557590840993E-3</v>
      </c>
      <c r="M32" s="16"/>
      <c r="N32" s="40">
        <v>28</v>
      </c>
      <c r="O32" s="38">
        <f t="shared" si="1"/>
        <v>1666666.6666666667</v>
      </c>
      <c r="P32" s="38">
        <f t="shared" si="7"/>
        <v>46666666.666666657</v>
      </c>
      <c r="Q32" s="33">
        <f t="shared" si="2"/>
        <v>53333333.333333343</v>
      </c>
    </row>
    <row r="33" spans="4:17" x14ac:dyDescent="0.25">
      <c r="D33" s="34">
        <v>42549</v>
      </c>
      <c r="E33" s="31">
        <v>29</v>
      </c>
      <c r="F33" s="35">
        <f t="shared" si="3"/>
        <v>1973005.5409356474</v>
      </c>
      <c r="G33" s="35">
        <f t="shared" si="4"/>
        <v>531339.35107467766</v>
      </c>
      <c r="H33" s="35">
        <f t="shared" si="5"/>
        <v>1441666.1898609698</v>
      </c>
      <c r="I33" s="35">
        <v>295811</v>
      </c>
      <c r="J33" s="35">
        <f t="shared" si="0"/>
        <v>2268816.5409356477</v>
      </c>
      <c r="K33" s="35">
        <f t="shared" si="6"/>
        <v>53261957.906782813</v>
      </c>
      <c r="L33" s="36">
        <v>9.7130557590840993E-3</v>
      </c>
      <c r="M33" s="16"/>
      <c r="N33" s="40">
        <v>29</v>
      </c>
      <c r="O33" s="38">
        <f t="shared" si="1"/>
        <v>1666666.6666666667</v>
      </c>
      <c r="P33" s="38">
        <f t="shared" si="7"/>
        <v>48333333.333333321</v>
      </c>
      <c r="Q33" s="33">
        <f t="shared" si="2"/>
        <v>51666666.666666679</v>
      </c>
    </row>
    <row r="34" spans="4:17" x14ac:dyDescent="0.25">
      <c r="D34" s="34">
        <v>42579</v>
      </c>
      <c r="E34" s="31">
        <v>30</v>
      </c>
      <c r="F34" s="35">
        <f t="shared" si="3"/>
        <v>1973005.5409356474</v>
      </c>
      <c r="G34" s="35">
        <f t="shared" si="4"/>
        <v>517336.36698657169</v>
      </c>
      <c r="H34" s="35">
        <f t="shared" si="5"/>
        <v>1455669.1739490759</v>
      </c>
      <c r="I34" s="35">
        <v>295811</v>
      </c>
      <c r="J34" s="35">
        <f t="shared" si="0"/>
        <v>2268816.5409356477</v>
      </c>
      <c r="K34" s="35">
        <f t="shared" si="6"/>
        <v>51806288.732833736</v>
      </c>
      <c r="L34" s="36">
        <v>9.7130557590840993E-3</v>
      </c>
      <c r="M34" s="16"/>
      <c r="N34" s="40">
        <v>30</v>
      </c>
      <c r="O34" s="38">
        <f t="shared" si="1"/>
        <v>1666666.6666666667</v>
      </c>
      <c r="P34" s="38">
        <f t="shared" si="7"/>
        <v>49999999.999999985</v>
      </c>
      <c r="Q34" s="33">
        <f t="shared" si="2"/>
        <v>50000000.000000015</v>
      </c>
    </row>
    <row r="35" spans="4:17" x14ac:dyDescent="0.25">
      <c r="D35" s="34">
        <v>42610</v>
      </c>
      <c r="E35" s="31">
        <v>31</v>
      </c>
      <c r="F35" s="35">
        <f t="shared" si="3"/>
        <v>1973005.540935647</v>
      </c>
      <c r="G35" s="35">
        <f t="shared" si="4"/>
        <v>503197.3711332244</v>
      </c>
      <c r="H35" s="35">
        <f t="shared" si="5"/>
        <v>1469808.1698024226</v>
      </c>
      <c r="I35" s="35">
        <v>295811</v>
      </c>
      <c r="J35" s="35">
        <f t="shared" si="0"/>
        <v>2268816.5409356467</v>
      </c>
      <c r="K35" s="35">
        <f t="shared" si="6"/>
        <v>50336480.563031316</v>
      </c>
      <c r="L35" s="36">
        <v>9.7130557590840993E-3</v>
      </c>
      <c r="M35" s="16"/>
      <c r="N35" s="40">
        <v>31</v>
      </c>
      <c r="O35" s="38">
        <f t="shared" si="1"/>
        <v>1666666.6666666667</v>
      </c>
      <c r="P35" s="38">
        <f t="shared" si="7"/>
        <v>51666666.666666649</v>
      </c>
      <c r="Q35" s="33">
        <f t="shared" si="2"/>
        <v>48333333.333333351</v>
      </c>
    </row>
    <row r="36" spans="4:17" x14ac:dyDescent="0.25">
      <c r="D36" s="34">
        <v>42641</v>
      </c>
      <c r="E36" s="31">
        <v>32</v>
      </c>
      <c r="F36" s="35">
        <f t="shared" si="3"/>
        <v>1973005.5409356477</v>
      </c>
      <c r="G36" s="35">
        <f t="shared" si="4"/>
        <v>488921.04242477613</v>
      </c>
      <c r="H36" s="35">
        <f t="shared" si="5"/>
        <v>1484084.4985108715</v>
      </c>
      <c r="I36" s="35">
        <v>295811</v>
      </c>
      <c r="J36" s="35">
        <f t="shared" si="0"/>
        <v>2268816.5409356477</v>
      </c>
      <c r="K36" s="35">
        <f t="shared" si="6"/>
        <v>48852396.064520441</v>
      </c>
      <c r="L36" s="36">
        <v>9.7130557590840993E-3</v>
      </c>
      <c r="M36" s="16"/>
      <c r="N36" s="40">
        <v>32</v>
      </c>
      <c r="O36" s="38">
        <f t="shared" si="1"/>
        <v>1666666.6666666667</v>
      </c>
      <c r="P36" s="38">
        <f t="shared" si="7"/>
        <v>53333333.333333313</v>
      </c>
      <c r="Q36" s="33">
        <f t="shared" si="2"/>
        <v>46666666.666666687</v>
      </c>
    </row>
    <row r="37" spans="4:17" x14ac:dyDescent="0.25">
      <c r="D37" s="34">
        <v>42671</v>
      </c>
      <c r="E37" s="31">
        <v>33</v>
      </c>
      <c r="F37" s="35">
        <f t="shared" si="3"/>
        <v>1973005.540935647</v>
      </c>
      <c r="G37" s="35">
        <f t="shared" si="4"/>
        <v>474506.04693954764</v>
      </c>
      <c r="H37" s="35">
        <f t="shared" si="5"/>
        <v>1498499.4939960993</v>
      </c>
      <c r="I37" s="35">
        <v>295811</v>
      </c>
      <c r="J37" s="35">
        <f t="shared" si="0"/>
        <v>2268816.5409356467</v>
      </c>
      <c r="K37" s="35">
        <f t="shared" si="6"/>
        <v>47353896.570524342</v>
      </c>
      <c r="L37" s="36">
        <v>9.7130557590840993E-3</v>
      </c>
      <c r="M37" s="16"/>
      <c r="N37" s="40">
        <v>33</v>
      </c>
      <c r="O37" s="38">
        <f t="shared" si="1"/>
        <v>1666666.6666666667</v>
      </c>
      <c r="P37" s="38">
        <f t="shared" si="7"/>
        <v>54999999.999999978</v>
      </c>
      <c r="Q37" s="33">
        <f t="shared" si="2"/>
        <v>45000000.000000022</v>
      </c>
    </row>
    <row r="38" spans="4:17" x14ac:dyDescent="0.25">
      <c r="D38" s="34">
        <v>42702</v>
      </c>
      <c r="E38" s="31">
        <v>34</v>
      </c>
      <c r="F38" s="35">
        <f t="shared" si="3"/>
        <v>1973005.5409356474</v>
      </c>
      <c r="G38" s="35">
        <f t="shared" si="4"/>
        <v>459951.03779940424</v>
      </c>
      <c r="H38" s="35">
        <f t="shared" si="5"/>
        <v>1513054.5031362432</v>
      </c>
      <c r="I38" s="35">
        <v>295811</v>
      </c>
      <c r="J38" s="35">
        <f t="shared" si="0"/>
        <v>2268816.5409356477</v>
      </c>
      <c r="K38" s="35">
        <f t="shared" si="6"/>
        <v>45840842.067388102</v>
      </c>
      <c r="L38" s="36">
        <v>9.7130557590840993E-3</v>
      </c>
      <c r="M38" s="16"/>
      <c r="N38" s="40">
        <v>34</v>
      </c>
      <c r="O38" s="38">
        <f t="shared" si="1"/>
        <v>1666666.6666666667</v>
      </c>
      <c r="P38" s="38">
        <f t="shared" si="7"/>
        <v>56666666.666666642</v>
      </c>
      <c r="Q38" s="33">
        <f t="shared" si="2"/>
        <v>43333333.333333358</v>
      </c>
    </row>
    <row r="39" spans="4:17" x14ac:dyDescent="0.25">
      <c r="D39" s="34">
        <v>42732</v>
      </c>
      <c r="E39" s="31">
        <v>35</v>
      </c>
      <c r="F39" s="35">
        <f t="shared" si="3"/>
        <v>1973005.5409356474</v>
      </c>
      <c r="G39" s="35">
        <f t="shared" si="4"/>
        <v>445254.65504390869</v>
      </c>
      <c r="H39" s="35">
        <f t="shared" si="5"/>
        <v>1527750.8858917388</v>
      </c>
      <c r="I39" s="35">
        <v>295811</v>
      </c>
      <c r="J39" s="35">
        <f t="shared" si="0"/>
        <v>2268816.5409356477</v>
      </c>
      <c r="K39" s="35">
        <f t="shared" si="6"/>
        <v>44313091.181496367</v>
      </c>
      <c r="L39" s="36">
        <v>9.7130557590840993E-3</v>
      </c>
      <c r="M39" s="16"/>
      <c r="N39" s="40">
        <v>35</v>
      </c>
      <c r="O39" s="38">
        <f t="shared" si="1"/>
        <v>1666666.6666666667</v>
      </c>
      <c r="P39" s="38">
        <f t="shared" si="7"/>
        <v>58333333.333333306</v>
      </c>
      <c r="Q39" s="33">
        <f t="shared" si="2"/>
        <v>41666666.666666694</v>
      </c>
    </row>
    <row r="40" spans="4:17" x14ac:dyDescent="0.25">
      <c r="D40" s="34">
        <v>42763</v>
      </c>
      <c r="E40" s="31">
        <v>36</v>
      </c>
      <c r="F40" s="35">
        <f t="shared" si="3"/>
        <v>1973005.5409356474</v>
      </c>
      <c r="G40" s="35">
        <f t="shared" si="4"/>
        <v>430415.52550325211</v>
      </c>
      <c r="H40" s="35">
        <f t="shared" si="5"/>
        <v>1542590.0154323953</v>
      </c>
      <c r="I40" s="35">
        <v>295811</v>
      </c>
      <c r="J40" s="35">
        <f t="shared" si="0"/>
        <v>2268816.5409356477</v>
      </c>
      <c r="K40" s="35">
        <f t="shared" si="6"/>
        <v>42770501.166063972</v>
      </c>
      <c r="L40" s="36">
        <v>9.7130557590840993E-3</v>
      </c>
      <c r="M40" s="16"/>
      <c r="N40" s="40">
        <v>36</v>
      </c>
      <c r="O40" s="38">
        <f t="shared" si="1"/>
        <v>1666666.6666666667</v>
      </c>
      <c r="P40" s="38">
        <f t="shared" si="7"/>
        <v>59999999.99999997</v>
      </c>
      <c r="Q40" s="33">
        <f t="shared" si="2"/>
        <v>40000000.00000003</v>
      </c>
    </row>
    <row r="41" spans="4:17" x14ac:dyDescent="0.25">
      <c r="D41" s="34">
        <v>42794</v>
      </c>
      <c r="E41" s="31">
        <v>37</v>
      </c>
      <c r="F41" s="35">
        <f t="shared" si="3"/>
        <v>1973005.5409356477</v>
      </c>
      <c r="G41" s="35">
        <f t="shared" si="4"/>
        <v>415432.26266995084</v>
      </c>
      <c r="H41" s="35">
        <f t="shared" si="5"/>
        <v>1557573.278265697</v>
      </c>
      <c r="I41" s="35">
        <v>295811</v>
      </c>
      <c r="J41" s="35">
        <f t="shared" si="0"/>
        <v>2268816.5409356477</v>
      </c>
      <c r="K41" s="35">
        <f t="shared" si="6"/>
        <v>41212927.887798272</v>
      </c>
      <c r="L41" s="36">
        <v>9.7130557590840993E-3</v>
      </c>
      <c r="M41" s="16"/>
      <c r="N41" s="40">
        <v>37</v>
      </c>
      <c r="O41" s="38">
        <f t="shared" si="1"/>
        <v>1666666.6666666667</v>
      </c>
      <c r="P41" s="38">
        <f t="shared" si="7"/>
        <v>61666666.666666634</v>
      </c>
      <c r="Q41" s="33">
        <f t="shared" si="2"/>
        <v>38333333.333333366</v>
      </c>
    </row>
    <row r="42" spans="4:17" x14ac:dyDescent="0.25">
      <c r="D42" s="34">
        <v>42822</v>
      </c>
      <c r="E42" s="31">
        <v>38</v>
      </c>
      <c r="F42" s="35">
        <f t="shared" si="3"/>
        <v>1973005.5409356474</v>
      </c>
      <c r="G42" s="35">
        <f t="shared" si="4"/>
        <v>400303.46656929667</v>
      </c>
      <c r="H42" s="35">
        <f t="shared" si="5"/>
        <v>1572702.0743663507</v>
      </c>
      <c r="I42" s="35">
        <v>295811</v>
      </c>
      <c r="J42" s="35">
        <f t="shared" si="0"/>
        <v>2268816.5409356477</v>
      </c>
      <c r="K42" s="35">
        <f t="shared" si="6"/>
        <v>39640225.813431919</v>
      </c>
      <c r="L42" s="36">
        <v>9.7130557590840993E-3</v>
      </c>
      <c r="M42" s="16"/>
      <c r="N42" s="40">
        <v>38</v>
      </c>
      <c r="O42" s="38">
        <f t="shared" si="1"/>
        <v>1666666.6666666667</v>
      </c>
      <c r="P42" s="38">
        <f t="shared" si="7"/>
        <v>63333333.333333299</v>
      </c>
      <c r="Q42" s="33">
        <f t="shared" si="2"/>
        <v>36666666.666666701</v>
      </c>
    </row>
    <row r="43" spans="4:17" x14ac:dyDescent="0.25">
      <c r="D43" s="34">
        <v>42853</v>
      </c>
      <c r="E43" s="31">
        <v>39</v>
      </c>
      <c r="F43" s="35">
        <f t="shared" si="3"/>
        <v>1973005.540935647</v>
      </c>
      <c r="G43" s="35">
        <f t="shared" si="4"/>
        <v>385027.72362854908</v>
      </c>
      <c r="H43" s="35">
        <f t="shared" si="5"/>
        <v>1587977.8173070978</v>
      </c>
      <c r="I43" s="35">
        <v>295811</v>
      </c>
      <c r="J43" s="35">
        <f t="shared" si="0"/>
        <v>2268816.5409356467</v>
      </c>
      <c r="K43" s="35">
        <f t="shared" si="6"/>
        <v>38052247.996124819</v>
      </c>
      <c r="L43" s="36">
        <v>9.7130557590840993E-3</v>
      </c>
      <c r="M43" s="16"/>
      <c r="N43" s="40">
        <v>39</v>
      </c>
      <c r="O43" s="38">
        <f t="shared" si="1"/>
        <v>1666666.6666666667</v>
      </c>
      <c r="P43" s="38">
        <f t="shared" si="7"/>
        <v>64999999.999999963</v>
      </c>
      <c r="Q43" s="33">
        <f t="shared" si="2"/>
        <v>35000000.000000037</v>
      </c>
    </row>
    <row r="44" spans="4:17" x14ac:dyDescent="0.25">
      <c r="D44" s="34">
        <v>42883</v>
      </c>
      <c r="E44" s="31">
        <v>40</v>
      </c>
      <c r="F44" s="35">
        <f t="shared" si="3"/>
        <v>1973005.5409356474</v>
      </c>
      <c r="G44" s="35">
        <f t="shared" si="4"/>
        <v>369603.60654485656</v>
      </c>
      <c r="H44" s="35">
        <f t="shared" si="5"/>
        <v>1603401.9343907908</v>
      </c>
      <c r="I44" s="35">
        <v>295811</v>
      </c>
      <c r="J44" s="35">
        <f t="shared" si="0"/>
        <v>2268816.5409356477</v>
      </c>
      <c r="K44" s="35">
        <f t="shared" si="6"/>
        <v>36448846.061734028</v>
      </c>
      <c r="L44" s="36">
        <v>9.7130557590840993E-3</v>
      </c>
      <c r="M44" s="16"/>
      <c r="N44" s="40">
        <v>40</v>
      </c>
      <c r="O44" s="38">
        <f t="shared" si="1"/>
        <v>1666666.6666666667</v>
      </c>
      <c r="P44" s="38">
        <f t="shared" si="7"/>
        <v>66666666.666666627</v>
      </c>
      <c r="Q44" s="33">
        <f t="shared" si="2"/>
        <v>33333333.333333373</v>
      </c>
    </row>
    <row r="45" spans="4:17" x14ac:dyDescent="0.25">
      <c r="D45" s="34">
        <v>42914</v>
      </c>
      <c r="E45" s="31">
        <v>41</v>
      </c>
      <c r="F45" s="35">
        <f t="shared" si="3"/>
        <v>1973005.5409356474</v>
      </c>
      <c r="G45" s="35">
        <f t="shared" si="4"/>
        <v>354029.67415189551</v>
      </c>
      <c r="H45" s="35">
        <f t="shared" si="5"/>
        <v>1618975.8667837519</v>
      </c>
      <c r="I45" s="35">
        <v>295811</v>
      </c>
      <c r="J45" s="35">
        <f t="shared" si="0"/>
        <v>2268816.5409356477</v>
      </c>
      <c r="K45" s="35">
        <f t="shared" si="6"/>
        <v>34829870.194950275</v>
      </c>
      <c r="L45" s="36">
        <v>9.7130557590840993E-3</v>
      </c>
      <c r="M45" s="16"/>
      <c r="N45" s="40">
        <v>41</v>
      </c>
      <c r="O45" s="38">
        <f t="shared" si="1"/>
        <v>1666666.6666666667</v>
      </c>
      <c r="P45" s="38">
        <f t="shared" si="7"/>
        <v>68333333.333333299</v>
      </c>
      <c r="Q45" s="33">
        <f t="shared" si="2"/>
        <v>31666666.666666701</v>
      </c>
    </row>
    <row r="46" spans="4:17" x14ac:dyDescent="0.25">
      <c r="D46" s="34">
        <v>42944</v>
      </c>
      <c r="E46" s="31">
        <v>42</v>
      </c>
      <c r="F46" s="35">
        <f t="shared" si="3"/>
        <v>1973005.540935647</v>
      </c>
      <c r="G46" s="35">
        <f t="shared" si="4"/>
        <v>338304.47128521337</v>
      </c>
      <c r="H46" s="35">
        <f t="shared" si="5"/>
        <v>1634701.0696504335</v>
      </c>
      <c r="I46" s="35">
        <v>295811</v>
      </c>
      <c r="J46" s="35">
        <f t="shared" si="0"/>
        <v>2268816.5409356467</v>
      </c>
      <c r="K46" s="35">
        <f t="shared" si="6"/>
        <v>33195169.125299841</v>
      </c>
      <c r="L46" s="36">
        <v>9.7130557590840993E-3</v>
      </c>
      <c r="M46" s="16"/>
      <c r="N46" s="40">
        <v>42</v>
      </c>
      <c r="O46" s="38">
        <f t="shared" si="1"/>
        <v>1666666.6666666667</v>
      </c>
      <c r="P46" s="38">
        <f t="shared" si="7"/>
        <v>69999999.99999997</v>
      </c>
      <c r="Q46" s="33">
        <f t="shared" si="2"/>
        <v>30000000.00000003</v>
      </c>
    </row>
    <row r="47" spans="4:17" x14ac:dyDescent="0.25">
      <c r="D47" s="34">
        <v>42975</v>
      </c>
      <c r="E47" s="31">
        <v>43</v>
      </c>
      <c r="F47" s="35">
        <f t="shared" si="3"/>
        <v>1973005.540935647</v>
      </c>
      <c r="G47" s="35">
        <f t="shared" si="4"/>
        <v>322426.52864626428</v>
      </c>
      <c r="H47" s="35">
        <f t="shared" si="5"/>
        <v>1650579.0122893828</v>
      </c>
      <c r="I47" s="35">
        <v>295811</v>
      </c>
      <c r="J47" s="35">
        <f t="shared" si="0"/>
        <v>2268816.5409356467</v>
      </c>
      <c r="K47" s="35">
        <f t="shared" si="6"/>
        <v>31544590.113010459</v>
      </c>
      <c r="L47" s="36">
        <v>9.7130557590840993E-3</v>
      </c>
      <c r="M47" s="16"/>
      <c r="N47" s="40">
        <v>43</v>
      </c>
      <c r="O47" s="38">
        <f t="shared" si="1"/>
        <v>1666666.6666666667</v>
      </c>
      <c r="P47" s="38">
        <f t="shared" si="7"/>
        <v>71666666.666666642</v>
      </c>
      <c r="Q47" s="33">
        <f t="shared" si="2"/>
        <v>28333333.333333358</v>
      </c>
    </row>
    <row r="48" spans="4:17" x14ac:dyDescent="0.25">
      <c r="D48" s="34">
        <v>43006</v>
      </c>
      <c r="E48" s="31">
        <v>44</v>
      </c>
      <c r="F48" s="35">
        <f t="shared" si="3"/>
        <v>1973005.540935647</v>
      </c>
      <c r="G48" s="35">
        <f t="shared" si="4"/>
        <v>306394.3626651236</v>
      </c>
      <c r="H48" s="35">
        <f t="shared" si="5"/>
        <v>1666611.1782705234</v>
      </c>
      <c r="I48" s="35">
        <v>295811</v>
      </c>
      <c r="J48" s="35">
        <f t="shared" si="0"/>
        <v>2268816.5409356467</v>
      </c>
      <c r="K48" s="35">
        <f t="shared" si="6"/>
        <v>29877978.934739936</v>
      </c>
      <c r="L48" s="36">
        <v>9.7130557590840993E-3</v>
      </c>
      <c r="M48" s="16"/>
      <c r="N48" s="40">
        <v>44</v>
      </c>
      <c r="O48" s="38">
        <f t="shared" si="1"/>
        <v>1666666.6666666667</v>
      </c>
      <c r="P48" s="38">
        <f t="shared" si="7"/>
        <v>73333333.333333313</v>
      </c>
      <c r="Q48" s="33">
        <f t="shared" si="2"/>
        <v>26666666.666666687</v>
      </c>
    </row>
    <row r="49" spans="4:17" x14ac:dyDescent="0.25">
      <c r="D49" s="34">
        <v>43036</v>
      </c>
      <c r="E49" s="31">
        <v>45</v>
      </c>
      <c r="F49" s="35">
        <f t="shared" si="3"/>
        <v>1973005.5409356467</v>
      </c>
      <c r="G49" s="35">
        <f t="shared" si="4"/>
        <v>290206.47536186915</v>
      </c>
      <c r="H49" s="35">
        <f t="shared" si="5"/>
        <v>1682799.0655737775</v>
      </c>
      <c r="I49" s="35">
        <v>295811</v>
      </c>
      <c r="J49" s="35">
        <f t="shared" si="0"/>
        <v>2268816.5409356467</v>
      </c>
      <c r="K49" s="35">
        <f t="shared" si="6"/>
        <v>28195179.869166158</v>
      </c>
      <c r="L49" s="36">
        <v>9.7130557590840993E-3</v>
      </c>
      <c r="M49" s="16"/>
      <c r="N49" s="40">
        <v>45</v>
      </c>
      <c r="O49" s="38">
        <f t="shared" si="1"/>
        <v>1666666.6666666667</v>
      </c>
      <c r="P49" s="38">
        <f t="shared" si="7"/>
        <v>74999999.999999985</v>
      </c>
      <c r="Q49" s="33">
        <f t="shared" si="2"/>
        <v>25000000.000000015</v>
      </c>
    </row>
    <row r="50" spans="4:17" x14ac:dyDescent="0.25">
      <c r="D50" s="34">
        <v>43067</v>
      </c>
      <c r="E50" s="31">
        <v>46</v>
      </c>
      <c r="F50" s="35">
        <f t="shared" si="3"/>
        <v>1973005.540935647</v>
      </c>
      <c r="G50" s="35">
        <f t="shared" si="4"/>
        <v>273861.35420661641</v>
      </c>
      <c r="H50" s="35">
        <f t="shared" si="5"/>
        <v>1699144.1867290307</v>
      </c>
      <c r="I50" s="35">
        <v>295811</v>
      </c>
      <c r="J50" s="35">
        <f t="shared" si="0"/>
        <v>2268816.5409356467</v>
      </c>
      <c r="K50" s="35">
        <f t="shared" si="6"/>
        <v>26496035.682437129</v>
      </c>
      <c r="L50" s="36">
        <v>9.7130557590840993E-3</v>
      </c>
      <c r="M50" s="16"/>
      <c r="N50" s="40">
        <v>46</v>
      </c>
      <c r="O50" s="38">
        <f t="shared" si="1"/>
        <v>1666666.6666666667</v>
      </c>
      <c r="P50" s="38">
        <f t="shared" si="7"/>
        <v>76666666.666666657</v>
      </c>
      <c r="Q50" s="33">
        <f t="shared" si="2"/>
        <v>23333333.333333343</v>
      </c>
    </row>
    <row r="51" spans="4:17" x14ac:dyDescent="0.25">
      <c r="D51" s="34">
        <v>43097</v>
      </c>
      <c r="E51" s="31">
        <v>47</v>
      </c>
      <c r="F51" s="35">
        <f t="shared" si="3"/>
        <v>1973005.540935647</v>
      </c>
      <c r="G51" s="35">
        <f t="shared" si="4"/>
        <v>257357.47197819376</v>
      </c>
      <c r="H51" s="35">
        <f t="shared" si="5"/>
        <v>1715648.0689574531</v>
      </c>
      <c r="I51" s="35">
        <v>295811</v>
      </c>
      <c r="J51" s="35">
        <f t="shared" si="0"/>
        <v>2268816.5409356467</v>
      </c>
      <c r="K51" s="35">
        <f t="shared" si="6"/>
        <v>24780387.613479678</v>
      </c>
      <c r="L51" s="36">
        <v>9.7130557590840993E-3</v>
      </c>
      <c r="M51" s="16"/>
      <c r="N51" s="40">
        <v>47</v>
      </c>
      <c r="O51" s="38">
        <f t="shared" si="1"/>
        <v>1666666.6666666667</v>
      </c>
      <c r="P51" s="38">
        <f t="shared" si="7"/>
        <v>78333333.333333328</v>
      </c>
      <c r="Q51" s="33">
        <f t="shared" si="2"/>
        <v>21666666.666666672</v>
      </c>
    </row>
    <row r="52" spans="4:17" x14ac:dyDescent="0.25">
      <c r="D52" s="34">
        <v>43128</v>
      </c>
      <c r="E52" s="31">
        <v>48</v>
      </c>
      <c r="F52" s="35">
        <f t="shared" si="3"/>
        <v>1973005.5409356474</v>
      </c>
      <c r="G52" s="35">
        <f t="shared" si="4"/>
        <v>240693.28662144506</v>
      </c>
      <c r="H52" s="35">
        <f t="shared" si="5"/>
        <v>1732312.2543142023</v>
      </c>
      <c r="I52" s="35">
        <v>295811</v>
      </c>
      <c r="J52" s="35">
        <f t="shared" si="0"/>
        <v>2268816.5409356477</v>
      </c>
      <c r="K52" s="35">
        <f t="shared" si="6"/>
        <v>23048075.359165475</v>
      </c>
      <c r="L52" s="36">
        <v>9.7130557590840993E-3</v>
      </c>
      <c r="M52" s="16"/>
      <c r="N52" s="40">
        <v>48</v>
      </c>
      <c r="O52" s="38">
        <f t="shared" si="1"/>
        <v>1666666.6666666667</v>
      </c>
      <c r="P52" s="38">
        <f t="shared" si="7"/>
        <v>80000000</v>
      </c>
      <c r="Q52" s="33">
        <f t="shared" si="2"/>
        <v>20000000</v>
      </c>
    </row>
    <row r="53" spans="4:17" x14ac:dyDescent="0.25">
      <c r="D53" s="34">
        <v>43159</v>
      </c>
      <c r="E53" s="31">
        <v>49</v>
      </c>
      <c r="F53" s="35">
        <f t="shared" si="3"/>
        <v>1973005.5409356474</v>
      </c>
      <c r="G53" s="35">
        <f t="shared" si="4"/>
        <v>223867.24110314655</v>
      </c>
      <c r="H53" s="35">
        <f t="shared" si="5"/>
        <v>1749138.299832501</v>
      </c>
      <c r="I53" s="35">
        <v>295811</v>
      </c>
      <c r="J53" s="35">
        <f t="shared" si="0"/>
        <v>2268816.5409356477</v>
      </c>
      <c r="K53" s="35">
        <f t="shared" si="6"/>
        <v>21298937.059332974</v>
      </c>
      <c r="L53" s="36">
        <v>9.7130557590840993E-3</v>
      </c>
      <c r="M53" s="16"/>
      <c r="N53" s="40">
        <v>49</v>
      </c>
      <c r="O53" s="38">
        <f t="shared" si="1"/>
        <v>1666666.6666666667</v>
      </c>
      <c r="P53" s="38">
        <f t="shared" si="7"/>
        <v>81666666.666666672</v>
      </c>
      <c r="Q53" s="33">
        <f t="shared" si="2"/>
        <v>18333333.333333328</v>
      </c>
    </row>
    <row r="54" spans="4:17" x14ac:dyDescent="0.25">
      <c r="D54" s="34">
        <v>43187</v>
      </c>
      <c r="E54" s="31">
        <v>50</v>
      </c>
      <c r="F54" s="35">
        <f t="shared" si="3"/>
        <v>1973005.5409356474</v>
      </c>
      <c r="G54" s="35">
        <f t="shared" si="4"/>
        <v>206877.76326652389</v>
      </c>
      <c r="H54" s="35">
        <f t="shared" si="5"/>
        <v>1766127.7776691236</v>
      </c>
      <c r="I54" s="35">
        <v>295811</v>
      </c>
      <c r="J54" s="35">
        <f t="shared" si="0"/>
        <v>2268816.5409356477</v>
      </c>
      <c r="K54" s="35">
        <f t="shared" si="6"/>
        <v>19532809.28166385</v>
      </c>
      <c r="L54" s="36">
        <v>9.7130557590840993E-3</v>
      </c>
      <c r="M54" s="16"/>
      <c r="N54" s="40">
        <v>50</v>
      </c>
      <c r="O54" s="38">
        <f t="shared" si="1"/>
        <v>1666666.6666666667</v>
      </c>
      <c r="P54" s="38">
        <f t="shared" si="7"/>
        <v>83333333.333333343</v>
      </c>
      <c r="Q54" s="33">
        <f t="shared" si="2"/>
        <v>16666666.666666657</v>
      </c>
    </row>
    <row r="55" spans="4:17" x14ac:dyDescent="0.25">
      <c r="D55" s="34">
        <v>43218</v>
      </c>
      <c r="E55" s="31">
        <v>51</v>
      </c>
      <c r="F55" s="35">
        <f t="shared" si="3"/>
        <v>1973005.5409356474</v>
      </c>
      <c r="G55" s="35">
        <f t="shared" si="4"/>
        <v>189723.26568435642</v>
      </c>
      <c r="H55" s="35">
        <f t="shared" si="5"/>
        <v>1783282.275251291</v>
      </c>
      <c r="I55" s="35">
        <v>295811</v>
      </c>
      <c r="J55" s="35">
        <f t="shared" si="0"/>
        <v>2268816.5409356477</v>
      </c>
      <c r="K55" s="35">
        <f t="shared" si="6"/>
        <v>17749527.006412558</v>
      </c>
      <c r="L55" s="36">
        <v>9.7130557590840993E-3</v>
      </c>
      <c r="M55" s="16"/>
      <c r="N55" s="40">
        <v>51</v>
      </c>
      <c r="O55" s="38">
        <f t="shared" si="1"/>
        <v>1666666.6666666667</v>
      </c>
      <c r="P55" s="38">
        <f t="shared" si="7"/>
        <v>85000000.000000015</v>
      </c>
      <c r="Q55" s="33">
        <f t="shared" si="2"/>
        <v>14999999.999999985</v>
      </c>
    </row>
    <row r="56" spans="4:17" x14ac:dyDescent="0.25">
      <c r="D56" s="34">
        <v>43248</v>
      </c>
      <c r="E56" s="31">
        <v>52</v>
      </c>
      <c r="F56" s="35">
        <f t="shared" si="3"/>
        <v>1973005.540935647</v>
      </c>
      <c r="G56" s="35">
        <f t="shared" si="4"/>
        <v>172402.14551065426</v>
      </c>
      <c r="H56" s="35">
        <f t="shared" si="5"/>
        <v>1800603.3954249928</v>
      </c>
      <c r="I56" s="35">
        <v>295811</v>
      </c>
      <c r="J56" s="35">
        <f t="shared" si="0"/>
        <v>2268816.5409356467</v>
      </c>
      <c r="K56" s="35">
        <f t="shared" si="6"/>
        <v>15948923.610987566</v>
      </c>
      <c r="L56" s="36">
        <v>9.7130557590840993E-3</v>
      </c>
      <c r="M56" s="16"/>
      <c r="N56" s="40">
        <v>52</v>
      </c>
      <c r="O56" s="38">
        <f t="shared" si="1"/>
        <v>1666666.6666666667</v>
      </c>
      <c r="P56" s="38">
        <f t="shared" si="7"/>
        <v>86666666.666666687</v>
      </c>
      <c r="Q56" s="33">
        <f t="shared" si="2"/>
        <v>13333333.333333313</v>
      </c>
    </row>
    <row r="57" spans="4:17" x14ac:dyDescent="0.25">
      <c r="D57" s="34">
        <v>43279</v>
      </c>
      <c r="E57" s="31">
        <v>53</v>
      </c>
      <c r="F57" s="35">
        <f t="shared" si="3"/>
        <v>1973005.540935647</v>
      </c>
      <c r="G57" s="35">
        <f t="shared" si="4"/>
        <v>154912.78433089514</v>
      </c>
      <c r="H57" s="35">
        <f t="shared" si="5"/>
        <v>1818092.7566047518</v>
      </c>
      <c r="I57" s="35">
        <v>295811</v>
      </c>
      <c r="J57" s="35">
        <f t="shared" si="0"/>
        <v>2268816.5409356467</v>
      </c>
      <c r="K57" s="35">
        <f t="shared" si="6"/>
        <v>14130830.854382815</v>
      </c>
      <c r="L57" s="36">
        <v>9.7130557590840993E-3</v>
      </c>
      <c r="M57" s="16"/>
      <c r="N57" s="40">
        <v>53</v>
      </c>
      <c r="O57" s="38">
        <f t="shared" si="1"/>
        <v>1666666.6666666667</v>
      </c>
      <c r="P57" s="38">
        <f t="shared" si="7"/>
        <v>88333333.333333358</v>
      </c>
      <c r="Q57" s="33">
        <f t="shared" si="2"/>
        <v>11666666.666666642</v>
      </c>
    </row>
    <row r="58" spans="4:17" x14ac:dyDescent="0.25">
      <c r="D58" s="34">
        <v>43309</v>
      </c>
      <c r="E58" s="31">
        <v>54</v>
      </c>
      <c r="F58" s="35">
        <f t="shared" si="3"/>
        <v>1973005.540935647</v>
      </c>
      <c r="G58" s="35">
        <f t="shared" si="4"/>
        <v>137253.54801080629</v>
      </c>
      <c r="H58" s="35">
        <f t="shared" si="5"/>
        <v>1835751.9929248407</v>
      </c>
      <c r="I58" s="35">
        <v>295811</v>
      </c>
      <c r="J58" s="35">
        <f t="shared" si="0"/>
        <v>2268816.5409356467</v>
      </c>
      <c r="K58" s="35">
        <f t="shared" si="6"/>
        <v>12295078.861457974</v>
      </c>
      <c r="L58" s="36">
        <v>9.7130557590840993E-3</v>
      </c>
      <c r="M58" s="16"/>
      <c r="N58" s="40">
        <v>54</v>
      </c>
      <c r="O58" s="38">
        <f t="shared" si="1"/>
        <v>1666666.6666666667</v>
      </c>
      <c r="P58" s="38">
        <f t="shared" si="7"/>
        <v>90000000.00000003</v>
      </c>
      <c r="Q58" s="33">
        <f t="shared" si="2"/>
        <v>9999999.9999999702</v>
      </c>
    </row>
    <row r="59" spans="4:17" x14ac:dyDescent="0.25">
      <c r="D59" s="34">
        <v>43340</v>
      </c>
      <c r="E59" s="31">
        <v>55</v>
      </c>
      <c r="F59" s="35">
        <f t="shared" si="3"/>
        <v>1973005.540935647</v>
      </c>
      <c r="G59" s="35">
        <f t="shared" si="4"/>
        <v>119422.78654367755</v>
      </c>
      <c r="H59" s="35">
        <f t="shared" si="5"/>
        <v>1853582.7543919694</v>
      </c>
      <c r="I59" s="35">
        <v>295811</v>
      </c>
      <c r="J59" s="35">
        <f t="shared" si="0"/>
        <v>2268816.5409356467</v>
      </c>
      <c r="K59" s="35">
        <f t="shared" si="6"/>
        <v>10441496.107066004</v>
      </c>
      <c r="L59" s="36">
        <v>9.7130557590840993E-3</v>
      </c>
      <c r="M59" s="16"/>
      <c r="N59" s="40">
        <v>55</v>
      </c>
      <c r="O59" s="38">
        <f t="shared" si="1"/>
        <v>1666666.6666666667</v>
      </c>
      <c r="P59" s="38">
        <f t="shared" si="7"/>
        <v>91666666.666666701</v>
      </c>
      <c r="Q59" s="33">
        <f t="shared" si="2"/>
        <v>8333333.3333332986</v>
      </c>
    </row>
    <row r="60" spans="4:17" x14ac:dyDescent="0.25">
      <c r="D60" s="34">
        <v>43371</v>
      </c>
      <c r="E60" s="31">
        <v>56</v>
      </c>
      <c r="F60" s="35">
        <f t="shared" si="3"/>
        <v>1973005.5409356467</v>
      </c>
      <c r="G60" s="35">
        <f t="shared" si="4"/>
        <v>101418.83389619165</v>
      </c>
      <c r="H60" s="35">
        <f t="shared" si="5"/>
        <v>1871586.7070394552</v>
      </c>
      <c r="I60" s="35">
        <v>295811</v>
      </c>
      <c r="J60" s="35">
        <f t="shared" si="0"/>
        <v>2268816.5409356467</v>
      </c>
      <c r="K60" s="35">
        <f t="shared" si="6"/>
        <v>8569909.4000265487</v>
      </c>
      <c r="L60" s="36">
        <v>9.7130557590840993E-3</v>
      </c>
      <c r="M60" s="16"/>
      <c r="N60" s="40">
        <v>56</v>
      </c>
      <c r="O60" s="38">
        <f t="shared" si="1"/>
        <v>1666666.6666666667</v>
      </c>
      <c r="P60" s="38">
        <f t="shared" si="7"/>
        <v>93333333.333333373</v>
      </c>
      <c r="Q60" s="33">
        <f t="shared" si="2"/>
        <v>6666666.6666666269</v>
      </c>
    </row>
    <row r="61" spans="4:17" x14ac:dyDescent="0.25">
      <c r="D61" s="34">
        <v>43401</v>
      </c>
      <c r="E61" s="31">
        <v>57</v>
      </c>
      <c r="F61" s="35">
        <f t="shared" si="3"/>
        <v>1973005.5409356467</v>
      </c>
      <c r="G61" s="35">
        <f t="shared" si="4"/>
        <v>83240.007852756826</v>
      </c>
      <c r="H61" s="35">
        <f t="shared" si="5"/>
        <v>1889765.5330828899</v>
      </c>
      <c r="I61" s="35">
        <v>295811</v>
      </c>
      <c r="J61" s="35">
        <f t="shared" si="0"/>
        <v>2268816.5409356467</v>
      </c>
      <c r="K61" s="35">
        <f t="shared" si="6"/>
        <v>6680143.8669436593</v>
      </c>
      <c r="L61" s="36">
        <v>9.7130557590840993E-3</v>
      </c>
      <c r="M61" s="16"/>
      <c r="N61" s="40">
        <v>57</v>
      </c>
      <c r="O61" s="38">
        <f t="shared" si="1"/>
        <v>1666666.6666666667</v>
      </c>
      <c r="P61" s="38">
        <f t="shared" si="7"/>
        <v>95000000.000000045</v>
      </c>
      <c r="Q61" s="33">
        <f t="shared" si="2"/>
        <v>4999999.9999999553</v>
      </c>
    </row>
    <row r="62" spans="4:17" x14ac:dyDescent="0.25">
      <c r="D62" s="34">
        <v>43432</v>
      </c>
      <c r="E62" s="31">
        <v>58</v>
      </c>
      <c r="F62" s="35">
        <f t="shared" si="3"/>
        <v>1973005.5409356467</v>
      </c>
      <c r="G62" s="35">
        <f t="shared" si="4"/>
        <v>64884.609858327436</v>
      </c>
      <c r="H62" s="35">
        <f t="shared" si="5"/>
        <v>1908120.9310773192</v>
      </c>
      <c r="I62" s="35">
        <v>295811</v>
      </c>
      <c r="J62" s="35">
        <f t="shared" si="0"/>
        <v>2268816.5409356467</v>
      </c>
      <c r="K62" s="35">
        <f t="shared" si="6"/>
        <v>4772022.9358663401</v>
      </c>
      <c r="L62" s="36">
        <v>9.7130557590840993E-3</v>
      </c>
      <c r="M62" s="16"/>
      <c r="N62" s="40">
        <v>58</v>
      </c>
      <c r="O62" s="38">
        <f t="shared" si="1"/>
        <v>1666666.6666666667</v>
      </c>
      <c r="P62" s="38">
        <f t="shared" si="7"/>
        <v>96666666.666666716</v>
      </c>
      <c r="Q62" s="33">
        <f t="shared" si="2"/>
        <v>3333333.3333332837</v>
      </c>
    </row>
    <row r="63" spans="4:17" x14ac:dyDescent="0.25">
      <c r="D63" s="34">
        <v>43462</v>
      </c>
      <c r="E63" s="31">
        <v>59</v>
      </c>
      <c r="F63" s="35">
        <f t="shared" si="3"/>
        <v>1973005.540935647</v>
      </c>
      <c r="G63" s="35">
        <f t="shared" si="4"/>
        <v>46350.924859697967</v>
      </c>
      <c r="H63" s="35">
        <f t="shared" si="5"/>
        <v>1926654.616075949</v>
      </c>
      <c r="I63" s="35">
        <v>295811</v>
      </c>
      <c r="J63" s="35">
        <f t="shared" si="0"/>
        <v>2268816.5409356467</v>
      </c>
      <c r="K63" s="35">
        <f t="shared" si="6"/>
        <v>2845368.3197903913</v>
      </c>
      <c r="L63" s="36">
        <v>9.7130557590840993E-3</v>
      </c>
      <c r="M63" s="16"/>
      <c r="N63" s="40">
        <v>59</v>
      </c>
      <c r="O63" s="38">
        <f t="shared" si="1"/>
        <v>1666666.6666666667</v>
      </c>
      <c r="P63" s="38">
        <f t="shared" si="7"/>
        <v>98333333.333333388</v>
      </c>
      <c r="Q63" s="33">
        <f t="shared" si="2"/>
        <v>1666666.666666612</v>
      </c>
    </row>
    <row r="64" spans="4:17" x14ac:dyDescent="0.25">
      <c r="D64" s="34">
        <v>43493</v>
      </c>
      <c r="E64" s="31">
        <v>60</v>
      </c>
      <c r="F64" s="35">
        <f t="shared" si="3"/>
        <v>1973005.540935647</v>
      </c>
      <c r="G64" s="35">
        <f t="shared" si="4"/>
        <v>27637.221145255506</v>
      </c>
      <c r="H64" s="35">
        <f t="shared" si="5"/>
        <v>1945368.3197903915</v>
      </c>
      <c r="I64" s="35">
        <v>0</v>
      </c>
      <c r="J64" s="35">
        <f t="shared" si="0"/>
        <v>1973005.540935647</v>
      </c>
      <c r="K64" s="35">
        <f t="shared" si="6"/>
        <v>899999.99999999977</v>
      </c>
      <c r="L64" s="36">
        <v>9.7130557590840993E-3</v>
      </c>
      <c r="M64" s="16"/>
      <c r="N64" s="40">
        <v>60</v>
      </c>
      <c r="O64" s="38">
        <f t="shared" si="1"/>
        <v>1666666.6666666667</v>
      </c>
      <c r="P64" s="38">
        <f t="shared" si="7"/>
        <v>100000000.00000006</v>
      </c>
      <c r="Q64" s="33">
        <f t="shared" si="2"/>
        <v>0</v>
      </c>
    </row>
  </sheetData>
  <mergeCells count="2">
    <mergeCell ref="D2:L2"/>
    <mergeCell ref="N2:Q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4"/>
  <sheetViews>
    <sheetView workbookViewId="0">
      <selection activeCell="C10" sqref="C10"/>
    </sheetView>
  </sheetViews>
  <sheetFormatPr baseColWidth="10" defaultRowHeight="15" x14ac:dyDescent="0.25"/>
  <cols>
    <col min="2" max="2" width="20.85546875" customWidth="1"/>
    <col min="3" max="3" width="15.140625" bestFit="1" customWidth="1"/>
    <col min="5" max="5" width="10.7109375" bestFit="1" customWidth="1"/>
    <col min="6" max="6" width="3" bestFit="1" customWidth="1"/>
    <col min="7" max="7" width="11.42578125" bestFit="1" customWidth="1"/>
    <col min="8" max="8" width="9.28515625" bestFit="1" customWidth="1"/>
    <col min="9" max="9" width="10.5703125" bestFit="1" customWidth="1"/>
    <col min="10" max="10" width="11.5703125" bestFit="1" customWidth="1"/>
    <col min="11" max="11" width="7.140625" bestFit="1" customWidth="1"/>
    <col min="13" max="13" width="8.42578125" bestFit="1" customWidth="1"/>
    <col min="14" max="14" width="13.140625" bestFit="1" customWidth="1"/>
    <col min="15" max="15" width="11.5703125" bestFit="1" customWidth="1"/>
    <col min="16" max="16" width="13.85546875" bestFit="1" customWidth="1"/>
  </cols>
  <sheetData>
    <row r="2" spans="2:16" x14ac:dyDescent="0.25">
      <c r="B2" t="s">
        <v>14</v>
      </c>
      <c r="C2" s="14">
        <v>41752</v>
      </c>
      <c r="E2" s="130" t="s">
        <v>105</v>
      </c>
      <c r="F2" s="130"/>
      <c r="G2" s="130"/>
      <c r="H2" s="130"/>
      <c r="I2" s="130"/>
      <c r="J2" s="130"/>
      <c r="K2" s="130"/>
      <c r="M2" s="130" t="s">
        <v>106</v>
      </c>
      <c r="N2" s="130"/>
      <c r="O2" s="130"/>
      <c r="P2" s="130"/>
    </row>
    <row r="3" spans="2:16" x14ac:dyDescent="0.25">
      <c r="B3" s="14" t="s">
        <v>15</v>
      </c>
      <c r="C3" s="14">
        <v>42970</v>
      </c>
      <c r="E3" s="29"/>
      <c r="F3" s="29"/>
      <c r="G3" s="29" t="s">
        <v>16</v>
      </c>
      <c r="H3" s="29" t="s">
        <v>17</v>
      </c>
      <c r="I3" s="29" t="s">
        <v>18</v>
      </c>
      <c r="J3" s="29" t="s">
        <v>21</v>
      </c>
      <c r="K3" s="29"/>
      <c r="M3" s="39" t="s">
        <v>22</v>
      </c>
      <c r="N3" s="31" t="s">
        <v>31</v>
      </c>
      <c r="O3" s="31" t="s">
        <v>32</v>
      </c>
      <c r="P3" s="31" t="s">
        <v>24</v>
      </c>
    </row>
    <row r="4" spans="2:16" x14ac:dyDescent="0.25">
      <c r="B4" t="s">
        <v>25</v>
      </c>
      <c r="C4" s="4">
        <v>40</v>
      </c>
      <c r="E4" s="31"/>
      <c r="F4" s="31"/>
      <c r="G4" s="31"/>
      <c r="H4" s="31"/>
      <c r="I4" s="31"/>
      <c r="J4" s="33">
        <f>+C7</f>
        <v>73854357</v>
      </c>
      <c r="K4" s="31"/>
      <c r="M4" s="39"/>
      <c r="N4" s="31"/>
      <c r="O4" s="31"/>
      <c r="P4" s="33">
        <f>+C5-O4</f>
        <v>73854357</v>
      </c>
    </row>
    <row r="5" spans="2:16" x14ac:dyDescent="0.25">
      <c r="B5" t="s">
        <v>26</v>
      </c>
      <c r="C5" s="4">
        <v>73854357</v>
      </c>
      <c r="E5" s="34">
        <v>41782</v>
      </c>
      <c r="F5" s="31">
        <v>1</v>
      </c>
      <c r="G5" s="35">
        <f>+PMT(K5,'Contrato 24606'!C4-F4,-J4,C8)</f>
        <v>2052579.7894177048</v>
      </c>
      <c r="H5" s="35">
        <f>+J4*K5</f>
        <v>739508.71401486953</v>
      </c>
      <c r="I5" s="35">
        <f>+G5-H5</f>
        <v>1313071.0754028354</v>
      </c>
      <c r="J5" s="35">
        <f>+J4-I5</f>
        <v>72541285.924597159</v>
      </c>
      <c r="K5" s="42">
        <v>1.0013068206861099E-2</v>
      </c>
      <c r="M5" s="40">
        <v>1</v>
      </c>
      <c r="N5" s="38">
        <f>+$C$5/$C$10</f>
        <v>1230905.95</v>
      </c>
      <c r="O5" s="38">
        <f>+N5+O4</f>
        <v>1230905.95</v>
      </c>
      <c r="P5" s="33">
        <f>$P$4-O5</f>
        <v>72623451.049999997</v>
      </c>
    </row>
    <row r="6" spans="2:16" x14ac:dyDescent="0.25">
      <c r="B6" t="s">
        <v>27</v>
      </c>
      <c r="C6" s="4">
        <v>0</v>
      </c>
      <c r="E6" s="34">
        <v>41813</v>
      </c>
      <c r="F6" s="31">
        <v>2</v>
      </c>
      <c r="G6" s="35">
        <f>+PMT(K6,$C$4-F5,-J5,$C$8)</f>
        <v>2052579.7894177048</v>
      </c>
      <c r="H6" s="35">
        <f>+J5*K6</f>
        <v>726360.84377640439</v>
      </c>
      <c r="I6" s="35">
        <f>+G6-H6</f>
        <v>1326218.9456413004</v>
      </c>
      <c r="J6" s="35">
        <f>+J5-I6</f>
        <v>71215066.978955865</v>
      </c>
      <c r="K6" s="42">
        <v>1.0013068206861099E-2</v>
      </c>
      <c r="M6" s="40">
        <v>2</v>
      </c>
      <c r="N6" s="38">
        <f t="shared" ref="N6:N64" si="0">+$C$5/$C$10</f>
        <v>1230905.95</v>
      </c>
      <c r="O6" s="38">
        <f>+N6+O5</f>
        <v>2461811.9</v>
      </c>
      <c r="P6" s="33">
        <f t="shared" ref="P6:P64" si="1">$P$4-O6</f>
        <v>71392545.099999994</v>
      </c>
    </row>
    <row r="7" spans="2:16" x14ac:dyDescent="0.25">
      <c r="B7" t="s">
        <v>28</v>
      </c>
      <c r="C7" s="4">
        <f>+C5-C6</f>
        <v>73854357</v>
      </c>
      <c r="E7" s="34">
        <v>41843</v>
      </c>
      <c r="F7" s="31">
        <v>3</v>
      </c>
      <c r="G7" s="35">
        <f t="shared" ref="G7:G44" si="2">+PMT(K7,$C$4-F6,-J6,$C$8)</f>
        <v>2052579.7894177048</v>
      </c>
      <c r="H7" s="35">
        <f t="shared" ref="H7:H44" si="3">+J6*K7</f>
        <v>713081.32301646669</v>
      </c>
      <c r="I7" s="35">
        <f t="shared" ref="I7:I44" si="4">+G7-H7</f>
        <v>1339498.466401238</v>
      </c>
      <c r="J7" s="35">
        <f t="shared" ref="J7:J44" si="5">+J6-I7</f>
        <v>69875568.512554631</v>
      </c>
      <c r="K7" s="42">
        <v>1.0013068206861099E-2</v>
      </c>
      <c r="M7" s="40">
        <v>3</v>
      </c>
      <c r="N7" s="38">
        <f t="shared" si="0"/>
        <v>1230905.95</v>
      </c>
      <c r="O7" s="38">
        <f t="shared" ref="O7:O64" si="6">+N7+O6</f>
        <v>3692717.8499999996</v>
      </c>
      <c r="P7" s="33">
        <f t="shared" si="1"/>
        <v>70161639.150000006</v>
      </c>
    </row>
    <row r="8" spans="2:16" x14ac:dyDescent="0.25">
      <c r="B8" t="s">
        <v>29</v>
      </c>
      <c r="C8" s="4">
        <v>9645777</v>
      </c>
      <c r="E8" s="34">
        <v>41874</v>
      </c>
      <c r="F8" s="31">
        <v>4</v>
      </c>
      <c r="G8" s="35">
        <f t="shared" si="2"/>
        <v>2050266.49457088</v>
      </c>
      <c r="H8" s="35">
        <f t="shared" si="3"/>
        <v>696014.83057893743</v>
      </c>
      <c r="I8" s="35">
        <f t="shared" si="4"/>
        <v>1354251.6639919425</v>
      </c>
      <c r="J8" s="35">
        <f t="shared" si="5"/>
        <v>68521316.848562688</v>
      </c>
      <c r="K8" s="42">
        <v>9.9607752093477941E-3</v>
      </c>
      <c r="M8" s="40">
        <v>4</v>
      </c>
      <c r="N8" s="38">
        <f t="shared" si="0"/>
        <v>1230905.95</v>
      </c>
      <c r="O8" s="38">
        <f t="shared" si="6"/>
        <v>4923623.8</v>
      </c>
      <c r="P8" s="33">
        <f t="shared" si="1"/>
        <v>68930733.200000003</v>
      </c>
    </row>
    <row r="9" spans="2:16" x14ac:dyDescent="0.25">
      <c r="B9" t="s">
        <v>30</v>
      </c>
      <c r="C9" s="18">
        <f>+PMT(K5,'Contrato 24606'!C4,-'Contrato 24606'!C7,C8)</f>
        <v>2052579.7894177048</v>
      </c>
      <c r="E9" s="34">
        <v>41905</v>
      </c>
      <c r="F9" s="31">
        <v>5</v>
      </c>
      <c r="G9" s="35">
        <f t="shared" si="2"/>
        <v>2050266.4945708795</v>
      </c>
      <c r="H9" s="35">
        <f t="shared" si="3"/>
        <v>682525.43417702848</v>
      </c>
      <c r="I9" s="35">
        <f t="shared" si="4"/>
        <v>1367741.060393851</v>
      </c>
      <c r="J9" s="35">
        <f t="shared" si="5"/>
        <v>67153575.788168833</v>
      </c>
      <c r="K9" s="42">
        <v>9.9607752093477941E-3</v>
      </c>
      <c r="M9" s="40">
        <v>5</v>
      </c>
      <c r="N9" s="38">
        <f t="shared" si="0"/>
        <v>1230905.95</v>
      </c>
      <c r="O9" s="38">
        <f t="shared" si="6"/>
        <v>6154529.75</v>
      </c>
      <c r="P9" s="33">
        <f t="shared" si="1"/>
        <v>67699827.25</v>
      </c>
    </row>
    <row r="10" spans="2:16" x14ac:dyDescent="0.25">
      <c r="B10" t="s">
        <v>89</v>
      </c>
      <c r="C10" s="4">
        <v>60</v>
      </c>
      <c r="E10" s="34">
        <v>41935</v>
      </c>
      <c r="F10" s="31">
        <v>6</v>
      </c>
      <c r="G10" s="35">
        <f t="shared" si="2"/>
        <v>2050266.4945708795</v>
      </c>
      <c r="H10" s="35">
        <f t="shared" si="3"/>
        <v>668901.67292985041</v>
      </c>
      <c r="I10" s="35">
        <f t="shared" si="4"/>
        <v>1381364.8216410291</v>
      </c>
      <c r="J10" s="35">
        <f t="shared" si="5"/>
        <v>65772210.966527805</v>
      </c>
      <c r="K10" s="42">
        <v>9.9607752093477941E-3</v>
      </c>
      <c r="M10" s="40">
        <v>6</v>
      </c>
      <c r="N10" s="38">
        <f t="shared" si="0"/>
        <v>1230905.95</v>
      </c>
      <c r="O10" s="38">
        <f t="shared" si="6"/>
        <v>7385435.7000000002</v>
      </c>
      <c r="P10" s="33">
        <f t="shared" si="1"/>
        <v>66468921.299999997</v>
      </c>
    </row>
    <row r="11" spans="2:16" x14ac:dyDescent="0.25">
      <c r="E11" s="34">
        <v>41966</v>
      </c>
      <c r="F11" s="31">
        <v>7</v>
      </c>
      <c r="G11" s="35">
        <f t="shared" si="2"/>
        <v>2067067.0719850683</v>
      </c>
      <c r="H11" s="35">
        <f t="shared" si="3"/>
        <v>681624.33778696368</v>
      </c>
      <c r="I11" s="35">
        <f t="shared" si="4"/>
        <v>1385442.7341981046</v>
      </c>
      <c r="J11" s="35">
        <f t="shared" si="5"/>
        <v>64386768.232329696</v>
      </c>
      <c r="K11" s="42">
        <v>1.0363409223598241E-2</v>
      </c>
      <c r="M11" s="40">
        <v>7</v>
      </c>
      <c r="N11" s="38">
        <f t="shared" si="0"/>
        <v>1230905.95</v>
      </c>
      <c r="O11" s="38">
        <f t="shared" si="6"/>
        <v>8616341.6500000004</v>
      </c>
      <c r="P11" s="33">
        <f t="shared" si="1"/>
        <v>65238015.350000001</v>
      </c>
    </row>
    <row r="12" spans="2:16" x14ac:dyDescent="0.25">
      <c r="E12" s="118">
        <v>41996</v>
      </c>
      <c r="F12" s="119">
        <v>8</v>
      </c>
      <c r="G12" s="120">
        <f t="shared" si="2"/>
        <v>2067067.0719850683</v>
      </c>
      <c r="H12" s="120">
        <f t="shared" si="3"/>
        <v>667266.4277766078</v>
      </c>
      <c r="I12" s="120">
        <f t="shared" si="4"/>
        <v>1399800.6442084606</v>
      </c>
      <c r="J12" s="120">
        <f t="shared" si="5"/>
        <v>62986967.588121235</v>
      </c>
      <c r="K12" s="121">
        <v>1.0363409223598241E-2</v>
      </c>
      <c r="M12" s="122">
        <v>8</v>
      </c>
      <c r="N12" s="123">
        <f t="shared" si="0"/>
        <v>1230905.95</v>
      </c>
      <c r="O12" s="123">
        <f t="shared" si="6"/>
        <v>9847247.5999999996</v>
      </c>
      <c r="P12" s="124">
        <f t="shared" si="1"/>
        <v>64007109.399999999</v>
      </c>
    </row>
    <row r="13" spans="2:16" x14ac:dyDescent="0.25">
      <c r="E13" s="34">
        <v>42027</v>
      </c>
      <c r="F13" s="31">
        <v>9</v>
      </c>
      <c r="G13" s="35">
        <f t="shared" si="2"/>
        <v>2067067.0719850683</v>
      </c>
      <c r="H13" s="35">
        <f t="shared" si="3"/>
        <v>652759.72086921905</v>
      </c>
      <c r="I13" s="35">
        <f t="shared" si="4"/>
        <v>1414307.3511158493</v>
      </c>
      <c r="J13" s="35">
        <f t="shared" si="5"/>
        <v>61572660.237005383</v>
      </c>
      <c r="K13" s="42">
        <v>1.0363409223598241E-2</v>
      </c>
      <c r="M13" s="40">
        <v>9</v>
      </c>
      <c r="N13" s="38">
        <f t="shared" si="0"/>
        <v>1230905.95</v>
      </c>
      <c r="O13" s="38">
        <f t="shared" si="6"/>
        <v>11078153.549999999</v>
      </c>
      <c r="P13" s="33">
        <f t="shared" si="1"/>
        <v>62776203.450000003</v>
      </c>
    </row>
    <row r="14" spans="2:16" x14ac:dyDescent="0.25">
      <c r="E14" s="34">
        <v>42058</v>
      </c>
      <c r="F14" s="31">
        <v>10</v>
      </c>
      <c r="G14" s="35">
        <f t="shared" si="2"/>
        <v>2066775.4730326459</v>
      </c>
      <c r="H14" s="35">
        <f t="shared" si="3"/>
        <v>637644.56419603934</v>
      </c>
      <c r="I14" s="35">
        <f t="shared" si="4"/>
        <v>1429130.9088366064</v>
      </c>
      <c r="J14" s="35">
        <f t="shared" si="5"/>
        <v>60143529.32816878</v>
      </c>
      <c r="K14" s="42">
        <v>1.0355969057396885E-2</v>
      </c>
      <c r="M14" s="40">
        <v>10</v>
      </c>
      <c r="N14" s="38">
        <f t="shared" si="0"/>
        <v>1230905.95</v>
      </c>
      <c r="O14" s="38">
        <f t="shared" si="6"/>
        <v>12309059.499999998</v>
      </c>
      <c r="P14" s="33">
        <f t="shared" si="1"/>
        <v>61545297.5</v>
      </c>
    </row>
    <row r="15" spans="2:16" x14ac:dyDescent="0.25">
      <c r="E15" s="34">
        <v>42086</v>
      </c>
      <c r="F15" s="31">
        <v>11</v>
      </c>
      <c r="G15" s="35">
        <f t="shared" si="2"/>
        <v>2066775.4730326459</v>
      </c>
      <c r="H15" s="35">
        <f t="shared" si="3"/>
        <v>622844.52872515796</v>
      </c>
      <c r="I15" s="35">
        <f t="shared" si="4"/>
        <v>1443930.9443074879</v>
      </c>
      <c r="J15" s="37">
        <f t="shared" si="5"/>
        <v>58699598.383861288</v>
      </c>
      <c r="K15" s="42">
        <v>1.0355969057396885E-2</v>
      </c>
      <c r="M15" s="43">
        <v>11</v>
      </c>
      <c r="N15" s="44">
        <f t="shared" si="0"/>
        <v>1230905.95</v>
      </c>
      <c r="O15" s="44">
        <f t="shared" si="6"/>
        <v>13539965.449999997</v>
      </c>
      <c r="P15" s="45">
        <f t="shared" si="1"/>
        <v>60314391.550000004</v>
      </c>
    </row>
    <row r="16" spans="2:16" x14ac:dyDescent="0.25">
      <c r="E16" s="34">
        <v>42117</v>
      </c>
      <c r="F16" s="31">
        <v>12</v>
      </c>
      <c r="G16" s="35">
        <f t="shared" si="2"/>
        <v>2066775.4730326456</v>
      </c>
      <c r="H16" s="35">
        <f t="shared" si="3"/>
        <v>607891.22454489174</v>
      </c>
      <c r="I16" s="35">
        <f t="shared" si="4"/>
        <v>1458884.2484877538</v>
      </c>
      <c r="J16" s="37">
        <f t="shared" si="5"/>
        <v>57240714.135373533</v>
      </c>
      <c r="K16" s="42">
        <v>1.0355969057396885E-2</v>
      </c>
      <c r="M16" s="40">
        <v>12</v>
      </c>
      <c r="N16" s="38">
        <f t="shared" si="0"/>
        <v>1230905.95</v>
      </c>
      <c r="O16" s="38">
        <f t="shared" si="6"/>
        <v>14770871.399999997</v>
      </c>
      <c r="P16" s="33">
        <f t="shared" si="1"/>
        <v>59083485.600000001</v>
      </c>
    </row>
    <row r="17" spans="5:16" x14ac:dyDescent="0.25">
      <c r="E17" s="34">
        <v>42147</v>
      </c>
      <c r="F17" s="31">
        <v>13</v>
      </c>
      <c r="G17" s="35">
        <f t="shared" si="2"/>
        <v>2066775.4730326459</v>
      </c>
      <c r="H17" s="35">
        <f t="shared" si="3"/>
        <v>592783.06440922886</v>
      </c>
      <c r="I17" s="35">
        <f t="shared" si="4"/>
        <v>1473992.4086234169</v>
      </c>
      <c r="J17" s="35">
        <f t="shared" si="5"/>
        <v>55766721.726750113</v>
      </c>
      <c r="K17" s="42">
        <v>1.0355969057396885E-2</v>
      </c>
      <c r="M17" s="40">
        <v>13</v>
      </c>
      <c r="N17" s="38">
        <f t="shared" si="0"/>
        <v>1230905.95</v>
      </c>
      <c r="O17" s="38">
        <f t="shared" si="6"/>
        <v>16001777.349999996</v>
      </c>
      <c r="P17" s="33">
        <f t="shared" si="1"/>
        <v>57852579.650000006</v>
      </c>
    </row>
    <row r="18" spans="5:16" x14ac:dyDescent="0.25">
      <c r="E18" s="34">
        <v>42178</v>
      </c>
      <c r="F18" s="31">
        <v>14</v>
      </c>
      <c r="G18" s="35">
        <f t="shared" si="2"/>
        <v>2066775.4730326452</v>
      </c>
      <c r="H18" s="35">
        <f t="shared" si="3"/>
        <v>577518.44463468681</v>
      </c>
      <c r="I18" s="35">
        <f t="shared" si="4"/>
        <v>1489257.0283979583</v>
      </c>
      <c r="J18" s="35">
        <f t="shared" si="5"/>
        <v>54277464.698352158</v>
      </c>
      <c r="K18" s="42">
        <v>1.0355969057396885E-2</v>
      </c>
      <c r="M18" s="40">
        <v>14</v>
      </c>
      <c r="N18" s="38">
        <f t="shared" si="0"/>
        <v>1230905.95</v>
      </c>
      <c r="O18" s="38">
        <f t="shared" si="6"/>
        <v>17232683.299999997</v>
      </c>
      <c r="P18" s="33">
        <f t="shared" si="1"/>
        <v>56621673.700000003</v>
      </c>
    </row>
    <row r="19" spans="5:16" x14ac:dyDescent="0.25">
      <c r="E19" s="34">
        <v>42208</v>
      </c>
      <c r="F19" s="31">
        <v>15</v>
      </c>
      <c r="G19" s="35">
        <f t="shared" si="2"/>
        <v>2066775.4730326456</v>
      </c>
      <c r="H19" s="35">
        <f t="shared" si="3"/>
        <v>562095.74493008677</v>
      </c>
      <c r="I19" s="35">
        <f t="shared" si="4"/>
        <v>1504679.7281025588</v>
      </c>
      <c r="J19" s="35">
        <f t="shared" si="5"/>
        <v>52772784.970249601</v>
      </c>
      <c r="K19" s="42">
        <v>1.0355969057396885E-2</v>
      </c>
      <c r="M19" s="40">
        <v>15</v>
      </c>
      <c r="N19" s="38">
        <f t="shared" si="0"/>
        <v>1230905.95</v>
      </c>
      <c r="O19" s="38">
        <f t="shared" si="6"/>
        <v>18463589.249999996</v>
      </c>
      <c r="P19" s="33">
        <f t="shared" si="1"/>
        <v>55390767.75</v>
      </c>
    </row>
    <row r="20" spans="5:16" x14ac:dyDescent="0.25">
      <c r="E20" s="34">
        <v>42239</v>
      </c>
      <c r="F20" s="31">
        <v>16</v>
      </c>
      <c r="G20" s="35">
        <f t="shared" si="2"/>
        <v>2066775.4730326459</v>
      </c>
      <c r="H20" s="35">
        <f t="shared" si="3"/>
        <v>546513.32822456432</v>
      </c>
      <c r="I20" s="35">
        <f t="shared" si="4"/>
        <v>1520262.1448080814</v>
      </c>
      <c r="J20" s="35">
        <f t="shared" si="5"/>
        <v>51252522.825441517</v>
      </c>
      <c r="K20" s="42">
        <v>1.0355969057396885E-2</v>
      </c>
      <c r="M20" s="40">
        <v>16</v>
      </c>
      <c r="N20" s="38">
        <f t="shared" si="0"/>
        <v>1230905.95</v>
      </c>
      <c r="O20" s="38">
        <f t="shared" si="6"/>
        <v>19694495.199999996</v>
      </c>
      <c r="P20" s="33">
        <f t="shared" si="1"/>
        <v>54159861.800000004</v>
      </c>
    </row>
    <row r="21" spans="5:16" x14ac:dyDescent="0.25">
      <c r="E21" s="34">
        <v>42270</v>
      </c>
      <c r="F21" s="31">
        <v>17</v>
      </c>
      <c r="G21" s="35">
        <f t="shared" si="2"/>
        <v>2066775.4730326459</v>
      </c>
      <c r="H21" s="35">
        <f t="shared" si="3"/>
        <v>530769.54049379996</v>
      </c>
      <c r="I21" s="35">
        <f t="shared" si="4"/>
        <v>1536005.932538846</v>
      </c>
      <c r="J21" s="35">
        <f t="shared" si="5"/>
        <v>49716516.892902672</v>
      </c>
      <c r="K21" s="42">
        <v>1.0355969057396885E-2</v>
      </c>
      <c r="M21" s="40">
        <v>17</v>
      </c>
      <c r="N21" s="38">
        <f t="shared" si="0"/>
        <v>1230905.95</v>
      </c>
      <c r="O21" s="38">
        <f t="shared" si="6"/>
        <v>20925401.149999995</v>
      </c>
      <c r="P21" s="33">
        <f t="shared" si="1"/>
        <v>52928955.850000009</v>
      </c>
    </row>
    <row r="22" spans="5:16" x14ac:dyDescent="0.25">
      <c r="E22" s="34">
        <v>42300</v>
      </c>
      <c r="F22" s="31">
        <v>18</v>
      </c>
      <c r="G22" s="35">
        <f t="shared" si="2"/>
        <v>2066775.4730326459</v>
      </c>
      <c r="H22" s="35">
        <f t="shared" si="3"/>
        <v>514862.71058444964</v>
      </c>
      <c r="I22" s="35">
        <f t="shared" si="4"/>
        <v>1551912.7624481963</v>
      </c>
      <c r="J22" s="35">
        <f t="shared" si="5"/>
        <v>48164604.130454473</v>
      </c>
      <c r="K22" s="42">
        <v>1.0355969057396885E-2</v>
      </c>
      <c r="M22" s="40">
        <v>18</v>
      </c>
      <c r="N22" s="38">
        <f t="shared" si="0"/>
        <v>1230905.95</v>
      </c>
      <c r="O22" s="38">
        <f t="shared" si="6"/>
        <v>22156307.099999994</v>
      </c>
      <c r="P22" s="33">
        <f t="shared" si="1"/>
        <v>51698049.900000006</v>
      </c>
    </row>
    <row r="23" spans="5:16" x14ac:dyDescent="0.25">
      <c r="E23" s="34">
        <v>42331</v>
      </c>
      <c r="F23" s="31">
        <v>19</v>
      </c>
      <c r="G23" s="35">
        <f t="shared" si="2"/>
        <v>2066775.4730326456</v>
      </c>
      <c r="H23" s="35">
        <f t="shared" si="3"/>
        <v>498791.15003675676</v>
      </c>
      <c r="I23" s="35">
        <f t="shared" si="4"/>
        <v>1567984.322995889</v>
      </c>
      <c r="J23" s="35">
        <f t="shared" si="5"/>
        <v>46596619.807458587</v>
      </c>
      <c r="K23" s="42">
        <v>1.0355969057396885E-2</v>
      </c>
      <c r="M23" s="40">
        <v>19</v>
      </c>
      <c r="N23" s="38">
        <f t="shared" si="0"/>
        <v>1230905.95</v>
      </c>
      <c r="O23" s="38">
        <f t="shared" si="6"/>
        <v>23387213.049999993</v>
      </c>
      <c r="P23" s="33">
        <f t="shared" si="1"/>
        <v>50467143.950000003</v>
      </c>
    </row>
    <row r="24" spans="5:16" x14ac:dyDescent="0.25">
      <c r="E24" s="34">
        <v>42361</v>
      </c>
      <c r="F24" s="31">
        <v>20</v>
      </c>
      <c r="G24" s="35">
        <f t="shared" si="2"/>
        <v>2066775.4730326459</v>
      </c>
      <c r="H24" s="35">
        <f t="shared" si="3"/>
        <v>482553.15290532797</v>
      </c>
      <c r="I24" s="35">
        <f t="shared" si="4"/>
        <v>1584222.3201273179</v>
      </c>
      <c r="J24" s="35">
        <f t="shared" si="5"/>
        <v>45012397.487331271</v>
      </c>
      <c r="K24" s="42">
        <v>1.0355969057396885E-2</v>
      </c>
      <c r="M24" s="40">
        <v>20</v>
      </c>
      <c r="N24" s="38">
        <f t="shared" si="0"/>
        <v>1230905.95</v>
      </c>
      <c r="O24" s="38">
        <f t="shared" si="6"/>
        <v>24618118.999999993</v>
      </c>
      <c r="P24" s="33">
        <f t="shared" si="1"/>
        <v>49236238.000000007</v>
      </c>
    </row>
    <row r="25" spans="5:16" x14ac:dyDescent="0.25">
      <c r="E25" s="34">
        <v>42392</v>
      </c>
      <c r="F25" s="31">
        <v>21</v>
      </c>
      <c r="G25" s="35">
        <f t="shared" si="2"/>
        <v>2066775.4730326456</v>
      </c>
      <c r="H25" s="35">
        <f t="shared" si="3"/>
        <v>466146.99557805195</v>
      </c>
      <c r="I25" s="35">
        <f t="shared" si="4"/>
        <v>1600628.4774545936</v>
      </c>
      <c r="J25" s="35">
        <f t="shared" si="5"/>
        <v>43411769.009876676</v>
      </c>
      <c r="K25" s="42">
        <v>1.0355969057396885E-2</v>
      </c>
      <c r="M25" s="40">
        <v>21</v>
      </c>
      <c r="N25" s="38">
        <f t="shared" si="0"/>
        <v>1230905.95</v>
      </c>
      <c r="O25" s="38">
        <f t="shared" si="6"/>
        <v>25849024.949999992</v>
      </c>
      <c r="P25" s="33">
        <f t="shared" si="1"/>
        <v>48005332.050000012</v>
      </c>
    </row>
    <row r="26" spans="5:16" x14ac:dyDescent="0.25">
      <c r="E26" s="34">
        <v>42423</v>
      </c>
      <c r="F26" s="31">
        <v>22</v>
      </c>
      <c r="G26" s="35">
        <f t="shared" si="2"/>
        <v>2066775.4730326459</v>
      </c>
      <c r="H26" s="35">
        <f t="shared" si="3"/>
        <v>449570.93659314391</v>
      </c>
      <c r="I26" s="35">
        <f t="shared" si="4"/>
        <v>1617204.5364395019</v>
      </c>
      <c r="J26" s="35">
        <f t="shared" si="5"/>
        <v>41794564.473437175</v>
      </c>
      <c r="K26" s="42">
        <v>1.0355969057396885E-2</v>
      </c>
      <c r="M26" s="40">
        <v>22</v>
      </c>
      <c r="N26" s="38">
        <f t="shared" si="0"/>
        <v>1230905.95</v>
      </c>
      <c r="O26" s="38">
        <f t="shared" si="6"/>
        <v>27079930.899999991</v>
      </c>
      <c r="P26" s="33">
        <f t="shared" si="1"/>
        <v>46774426.100000009</v>
      </c>
    </row>
    <row r="27" spans="5:16" x14ac:dyDescent="0.25">
      <c r="E27" s="34">
        <v>42452</v>
      </c>
      <c r="F27" s="31">
        <v>23</v>
      </c>
      <c r="G27" s="35">
        <f t="shared" si="2"/>
        <v>2066775.4730326459</v>
      </c>
      <c r="H27" s="35">
        <f t="shared" si="3"/>
        <v>432823.21645429451</v>
      </c>
      <c r="I27" s="35">
        <f t="shared" si="4"/>
        <v>1633952.2565783514</v>
      </c>
      <c r="J27" s="35">
        <f t="shared" si="5"/>
        <v>40160612.216858827</v>
      </c>
      <c r="K27" s="42">
        <v>1.0355969057396885E-2</v>
      </c>
      <c r="M27" s="40">
        <v>23</v>
      </c>
      <c r="N27" s="38">
        <f t="shared" si="0"/>
        <v>1230905.95</v>
      </c>
      <c r="O27" s="38">
        <f t="shared" si="6"/>
        <v>28310836.84999999</v>
      </c>
      <c r="P27" s="33">
        <f t="shared" si="1"/>
        <v>45543520.150000006</v>
      </c>
    </row>
    <row r="28" spans="5:16" x14ac:dyDescent="0.25">
      <c r="E28" s="34">
        <v>42483</v>
      </c>
      <c r="F28" s="31">
        <v>24</v>
      </c>
      <c r="G28" s="35">
        <f t="shared" si="2"/>
        <v>2066775.4730326461</v>
      </c>
      <c r="H28" s="35">
        <f t="shared" si="3"/>
        <v>415902.05744390533</v>
      </c>
      <c r="I28" s="35">
        <f t="shared" si="4"/>
        <v>1650873.4155887407</v>
      </c>
      <c r="J28" s="35">
        <f t="shared" si="5"/>
        <v>38509738.801270083</v>
      </c>
      <c r="K28" s="42">
        <v>1.0355969057396885E-2</v>
      </c>
      <c r="M28" s="40">
        <v>24</v>
      </c>
      <c r="N28" s="38">
        <f t="shared" si="0"/>
        <v>1230905.95</v>
      </c>
      <c r="O28" s="38">
        <f t="shared" si="6"/>
        <v>29541742.79999999</v>
      </c>
      <c r="P28" s="33">
        <f t="shared" si="1"/>
        <v>44312614.20000001</v>
      </c>
    </row>
    <row r="29" spans="5:16" x14ac:dyDescent="0.25">
      <c r="E29" s="34">
        <v>42513</v>
      </c>
      <c r="F29" s="31">
        <v>25</v>
      </c>
      <c r="G29" s="35">
        <f t="shared" si="2"/>
        <v>2066775.4730326459</v>
      </c>
      <c r="H29" s="35">
        <f t="shared" si="3"/>
        <v>398805.66343438922</v>
      </c>
      <c r="I29" s="35">
        <f t="shared" si="4"/>
        <v>1667969.8095982566</v>
      </c>
      <c r="J29" s="35">
        <f t="shared" si="5"/>
        <v>36841768.991671823</v>
      </c>
      <c r="K29" s="42">
        <v>1.0355969057396885E-2</v>
      </c>
      <c r="M29" s="40">
        <v>25</v>
      </c>
      <c r="N29" s="38">
        <f t="shared" si="0"/>
        <v>1230905.95</v>
      </c>
      <c r="O29" s="38">
        <f t="shared" si="6"/>
        <v>30772648.749999989</v>
      </c>
      <c r="P29" s="33">
        <f t="shared" si="1"/>
        <v>43081708.250000015</v>
      </c>
    </row>
    <row r="30" spans="5:16" x14ac:dyDescent="0.25">
      <c r="E30" s="34">
        <v>42544</v>
      </c>
      <c r="F30" s="31">
        <v>26</v>
      </c>
      <c r="G30" s="35">
        <f t="shared" si="2"/>
        <v>2066775.4730326456</v>
      </c>
      <c r="H30" s="35">
        <f t="shared" si="3"/>
        <v>381532.21969751746</v>
      </c>
      <c r="I30" s="35">
        <f t="shared" si="4"/>
        <v>1685243.2533351281</v>
      </c>
      <c r="J30" s="35">
        <f t="shared" si="5"/>
        <v>35156525.738336697</v>
      </c>
      <c r="K30" s="42">
        <v>1.0355969057396885E-2</v>
      </c>
      <c r="M30" s="40">
        <v>26</v>
      </c>
      <c r="N30" s="38">
        <f t="shared" si="0"/>
        <v>1230905.95</v>
      </c>
      <c r="O30" s="38">
        <f t="shared" si="6"/>
        <v>32003554.699999988</v>
      </c>
      <c r="P30" s="33">
        <f t="shared" si="1"/>
        <v>41850802.300000012</v>
      </c>
    </row>
    <row r="31" spans="5:16" x14ac:dyDescent="0.25">
      <c r="E31" s="34">
        <v>42574</v>
      </c>
      <c r="F31" s="31">
        <v>27</v>
      </c>
      <c r="G31" s="35">
        <f t="shared" si="2"/>
        <v>2066775.4730326459</v>
      </c>
      <c r="H31" s="35">
        <f t="shared" si="3"/>
        <v>364079.89271179202</v>
      </c>
      <c r="I31" s="35">
        <f t="shared" si="4"/>
        <v>1702695.5803208537</v>
      </c>
      <c r="J31" s="35">
        <f t="shared" si="5"/>
        <v>33453830.158015843</v>
      </c>
      <c r="K31" s="42">
        <v>1.0355969057396885E-2</v>
      </c>
      <c r="M31" s="40">
        <v>27</v>
      </c>
      <c r="N31" s="38">
        <f t="shared" si="0"/>
        <v>1230905.95</v>
      </c>
      <c r="O31" s="38">
        <f t="shared" si="6"/>
        <v>33234460.649999987</v>
      </c>
      <c r="P31" s="33">
        <f t="shared" si="1"/>
        <v>40619896.350000009</v>
      </c>
    </row>
    <row r="32" spans="5:16" x14ac:dyDescent="0.25">
      <c r="E32" s="34">
        <v>42605</v>
      </c>
      <c r="F32" s="31">
        <v>28</v>
      </c>
      <c r="G32" s="35">
        <f t="shared" si="2"/>
        <v>2066775.4730326459</v>
      </c>
      <c r="H32" s="35">
        <f t="shared" si="3"/>
        <v>346446.82996782282</v>
      </c>
      <c r="I32" s="35">
        <f t="shared" si="4"/>
        <v>1720328.643064823</v>
      </c>
      <c r="J32" s="35">
        <f t="shared" si="5"/>
        <v>31733501.51495102</v>
      </c>
      <c r="K32" s="42">
        <v>1.0355969057396885E-2</v>
      </c>
      <c r="M32" s="40">
        <v>28</v>
      </c>
      <c r="N32" s="38">
        <f t="shared" si="0"/>
        <v>1230905.95</v>
      </c>
      <c r="O32" s="38">
        <f t="shared" si="6"/>
        <v>34465366.599999987</v>
      </c>
      <c r="P32" s="33">
        <f t="shared" si="1"/>
        <v>39388990.400000013</v>
      </c>
    </row>
    <row r="33" spans="5:16" x14ac:dyDescent="0.25">
      <c r="E33" s="34">
        <v>42636</v>
      </c>
      <c r="F33" s="31">
        <v>29</v>
      </c>
      <c r="G33" s="35">
        <f t="shared" si="2"/>
        <v>2066775.4730326459</v>
      </c>
      <c r="H33" s="35">
        <f t="shared" si="3"/>
        <v>328631.15977168997</v>
      </c>
      <c r="I33" s="35">
        <f t="shared" si="4"/>
        <v>1738144.313260956</v>
      </c>
      <c r="J33" s="35">
        <f t="shared" si="5"/>
        <v>29995357.201690063</v>
      </c>
      <c r="K33" s="42">
        <v>1.0355969057396885E-2</v>
      </c>
      <c r="M33" s="40">
        <v>29</v>
      </c>
      <c r="N33" s="38">
        <f t="shared" si="0"/>
        <v>1230905.95</v>
      </c>
      <c r="O33" s="38">
        <f t="shared" si="6"/>
        <v>35696272.54999999</v>
      </c>
      <c r="P33" s="33">
        <f t="shared" si="1"/>
        <v>38158084.45000001</v>
      </c>
    </row>
    <row r="34" spans="5:16" x14ac:dyDescent="0.25">
      <c r="E34" s="34">
        <v>42666</v>
      </c>
      <c r="F34" s="31">
        <v>30</v>
      </c>
      <c r="G34" s="35">
        <f t="shared" si="2"/>
        <v>2066775.4730326452</v>
      </c>
      <c r="H34" s="35">
        <f t="shared" si="3"/>
        <v>310630.99104626913</v>
      </c>
      <c r="I34" s="35">
        <f t="shared" si="4"/>
        <v>1756144.481986376</v>
      </c>
      <c r="J34" s="35">
        <f t="shared" si="5"/>
        <v>28239212.719703685</v>
      </c>
      <c r="K34" s="42">
        <v>1.0355969057396885E-2</v>
      </c>
      <c r="M34" s="40">
        <v>30</v>
      </c>
      <c r="N34" s="38">
        <f t="shared" si="0"/>
        <v>1230905.95</v>
      </c>
      <c r="O34" s="38">
        <f t="shared" si="6"/>
        <v>36927178.499999993</v>
      </c>
      <c r="P34" s="33">
        <f t="shared" si="1"/>
        <v>36927178.500000007</v>
      </c>
    </row>
    <row r="35" spans="5:16" x14ac:dyDescent="0.25">
      <c r="E35" s="34">
        <v>42697</v>
      </c>
      <c r="F35" s="31">
        <v>31</v>
      </c>
      <c r="G35" s="35">
        <f t="shared" si="2"/>
        <v>2066775.4730326452</v>
      </c>
      <c r="H35" s="35">
        <f t="shared" si="3"/>
        <v>292444.41313049989</v>
      </c>
      <c r="I35" s="35">
        <f t="shared" si="4"/>
        <v>1774331.0599021453</v>
      </c>
      <c r="J35" s="35">
        <f t="shared" si="5"/>
        <v>26464881.659801539</v>
      </c>
      <c r="K35" s="42">
        <v>1.0355969057396885E-2</v>
      </c>
      <c r="M35" s="40">
        <v>31</v>
      </c>
      <c r="N35" s="38">
        <f t="shared" si="0"/>
        <v>1230905.95</v>
      </c>
      <c r="O35" s="38">
        <f t="shared" si="6"/>
        <v>38158084.449999996</v>
      </c>
      <c r="P35" s="33">
        <f t="shared" si="1"/>
        <v>35696272.550000004</v>
      </c>
    </row>
    <row r="36" spans="5:16" x14ac:dyDescent="0.25">
      <c r="E36" s="34">
        <v>42727</v>
      </c>
      <c r="F36" s="31">
        <v>32</v>
      </c>
      <c r="G36" s="35">
        <f t="shared" si="2"/>
        <v>2066775.4730326452</v>
      </c>
      <c r="H36" s="35">
        <f t="shared" si="3"/>
        <v>274069.49557657505</v>
      </c>
      <c r="I36" s="35">
        <f t="shared" si="4"/>
        <v>1792705.97745607</v>
      </c>
      <c r="J36" s="35">
        <f t="shared" si="5"/>
        <v>24672175.682345469</v>
      </c>
      <c r="K36" s="42">
        <v>1.0355969057396885E-2</v>
      </c>
      <c r="M36" s="40">
        <v>32</v>
      </c>
      <c r="N36" s="38">
        <f t="shared" si="0"/>
        <v>1230905.95</v>
      </c>
      <c r="O36" s="38">
        <f t="shared" si="6"/>
        <v>39388990.399999999</v>
      </c>
      <c r="P36" s="33">
        <f t="shared" si="1"/>
        <v>34465366.600000001</v>
      </c>
    </row>
    <row r="37" spans="5:16" x14ac:dyDescent="0.25">
      <c r="E37" s="34">
        <v>42758</v>
      </c>
      <c r="F37" s="31">
        <v>33</v>
      </c>
      <c r="G37" s="35">
        <f t="shared" si="2"/>
        <v>2066775.4730326456</v>
      </c>
      <c r="H37" s="35">
        <f t="shared" si="3"/>
        <v>255504.28794502956</v>
      </c>
      <c r="I37" s="35">
        <f t="shared" si="4"/>
        <v>1811271.1850876161</v>
      </c>
      <c r="J37" s="35">
        <f t="shared" si="5"/>
        <v>22860904.497257851</v>
      </c>
      <c r="K37" s="42">
        <v>1.0355969057396885E-2</v>
      </c>
      <c r="M37" s="40">
        <v>33</v>
      </c>
      <c r="N37" s="38">
        <f t="shared" si="0"/>
        <v>1230905.95</v>
      </c>
      <c r="O37" s="38">
        <f t="shared" si="6"/>
        <v>40619896.350000001</v>
      </c>
      <c r="P37" s="33">
        <f t="shared" si="1"/>
        <v>33234460.649999999</v>
      </c>
    </row>
    <row r="38" spans="5:16" x14ac:dyDescent="0.25">
      <c r="E38" s="34">
        <v>42789</v>
      </c>
      <c r="F38" s="31">
        <v>34</v>
      </c>
      <c r="G38" s="35">
        <f t="shared" si="2"/>
        <v>2066775.4730326449</v>
      </c>
      <c r="H38" s="35">
        <f t="shared" si="3"/>
        <v>236746.8195977076</v>
      </c>
      <c r="I38" s="35">
        <f t="shared" si="4"/>
        <v>1830028.6534349374</v>
      </c>
      <c r="J38" s="35">
        <f t="shared" si="5"/>
        <v>21030875.843822915</v>
      </c>
      <c r="K38" s="42">
        <v>1.0355969057396885E-2</v>
      </c>
      <c r="M38" s="40">
        <v>34</v>
      </c>
      <c r="N38" s="38">
        <f t="shared" si="0"/>
        <v>1230905.95</v>
      </c>
      <c r="O38" s="38">
        <f t="shared" si="6"/>
        <v>41850802.300000004</v>
      </c>
      <c r="P38" s="33">
        <f t="shared" si="1"/>
        <v>32003554.699999996</v>
      </c>
    </row>
    <row r="39" spans="5:16" x14ac:dyDescent="0.25">
      <c r="E39" s="34">
        <v>42817</v>
      </c>
      <c r="F39" s="31">
        <v>35</v>
      </c>
      <c r="G39" s="35">
        <f t="shared" si="2"/>
        <v>2066775.4730326456</v>
      </c>
      <c r="H39" s="35">
        <f t="shared" si="3"/>
        <v>217795.09948858572</v>
      </c>
      <c r="I39" s="35">
        <f t="shared" si="4"/>
        <v>1848980.3735440599</v>
      </c>
      <c r="J39" s="35">
        <f t="shared" si="5"/>
        <v>19181895.470278855</v>
      </c>
      <c r="K39" s="42">
        <v>1.0355969057396885E-2</v>
      </c>
      <c r="M39" s="40">
        <v>35</v>
      </c>
      <c r="N39" s="38">
        <f t="shared" si="0"/>
        <v>1230905.95</v>
      </c>
      <c r="O39" s="38">
        <f t="shared" si="6"/>
        <v>43081708.250000007</v>
      </c>
      <c r="P39" s="33">
        <f t="shared" si="1"/>
        <v>30772648.749999993</v>
      </c>
    </row>
    <row r="40" spans="5:16" x14ac:dyDescent="0.25">
      <c r="E40" s="34">
        <v>42848</v>
      </c>
      <c r="F40" s="31">
        <v>36</v>
      </c>
      <c r="G40" s="35">
        <f t="shared" si="2"/>
        <v>2066775.4730326456</v>
      </c>
      <c r="H40" s="35">
        <f t="shared" si="3"/>
        <v>198647.1159524293</v>
      </c>
      <c r="I40" s="35">
        <f t="shared" si="4"/>
        <v>1868128.3570802163</v>
      </c>
      <c r="J40" s="35">
        <f t="shared" si="5"/>
        <v>17313767.113198638</v>
      </c>
      <c r="K40" s="42">
        <v>1.0355969057396885E-2</v>
      </c>
      <c r="M40" s="40">
        <v>36</v>
      </c>
      <c r="N40" s="38">
        <f t="shared" si="0"/>
        <v>1230905.95</v>
      </c>
      <c r="O40" s="38">
        <f t="shared" si="6"/>
        <v>44312614.20000001</v>
      </c>
      <c r="P40" s="33">
        <f t="shared" si="1"/>
        <v>29541742.79999999</v>
      </c>
    </row>
    <row r="41" spans="5:16" x14ac:dyDescent="0.25">
      <c r="E41" s="34">
        <v>42878</v>
      </c>
      <c r="F41" s="31">
        <v>37</v>
      </c>
      <c r="G41" s="35">
        <f t="shared" si="2"/>
        <v>2066775.4730326449</v>
      </c>
      <c r="H41" s="35">
        <f t="shared" si="3"/>
        <v>179300.83649126088</v>
      </c>
      <c r="I41" s="35">
        <f t="shared" si="4"/>
        <v>1887474.636541384</v>
      </c>
      <c r="J41" s="35">
        <f t="shared" si="5"/>
        <v>15426292.476657255</v>
      </c>
      <c r="K41" s="42">
        <v>1.0355969057396885E-2</v>
      </c>
      <c r="M41" s="40">
        <v>37</v>
      </c>
      <c r="N41" s="38">
        <f t="shared" si="0"/>
        <v>1230905.95</v>
      </c>
      <c r="O41" s="38">
        <f t="shared" si="6"/>
        <v>45543520.150000013</v>
      </c>
      <c r="P41" s="33">
        <f t="shared" si="1"/>
        <v>28310836.849999987</v>
      </c>
    </row>
    <row r="42" spans="5:16" x14ac:dyDescent="0.25">
      <c r="E42" s="34">
        <v>42909</v>
      </c>
      <c r="F42" s="31">
        <v>38</v>
      </c>
      <c r="G42" s="35">
        <f t="shared" si="2"/>
        <v>2066775.4730326452</v>
      </c>
      <c r="H42" s="35">
        <f t="shared" si="3"/>
        <v>159754.20755861691</v>
      </c>
      <c r="I42" s="35">
        <f t="shared" si="4"/>
        <v>1907021.2654740282</v>
      </c>
      <c r="J42" s="35">
        <f t="shared" si="5"/>
        <v>13519271.211183226</v>
      </c>
      <c r="K42" s="42">
        <v>1.0355969057396885E-2</v>
      </c>
      <c r="M42" s="40">
        <v>38</v>
      </c>
      <c r="N42" s="38">
        <f t="shared" si="0"/>
        <v>1230905.95</v>
      </c>
      <c r="O42" s="38">
        <f t="shared" si="6"/>
        <v>46774426.100000016</v>
      </c>
      <c r="P42" s="33">
        <f t="shared" si="1"/>
        <v>27079930.899999984</v>
      </c>
    </row>
    <row r="43" spans="5:16" x14ac:dyDescent="0.25">
      <c r="E43" s="34">
        <v>42939</v>
      </c>
      <c r="F43" s="31">
        <v>39</v>
      </c>
      <c r="G43" s="35">
        <f t="shared" si="2"/>
        <v>2066775.4730326452</v>
      </c>
      <c r="H43" s="35">
        <f t="shared" si="3"/>
        <v>140005.15434157001</v>
      </c>
      <c r="I43" s="35">
        <f t="shared" si="4"/>
        <v>1926770.3186910751</v>
      </c>
      <c r="J43" s="35">
        <f t="shared" si="5"/>
        <v>11592500.892492151</v>
      </c>
      <c r="K43" s="42">
        <v>1.0355969057396885E-2</v>
      </c>
      <c r="M43" s="40">
        <v>39</v>
      </c>
      <c r="N43" s="38">
        <f t="shared" si="0"/>
        <v>1230905.95</v>
      </c>
      <c r="O43" s="38">
        <f t="shared" si="6"/>
        <v>48005332.050000019</v>
      </c>
      <c r="P43" s="33">
        <f t="shared" si="1"/>
        <v>25849024.949999981</v>
      </c>
    </row>
    <row r="44" spans="5:16" x14ac:dyDescent="0.25">
      <c r="E44" s="34">
        <v>42970</v>
      </c>
      <c r="F44" s="31">
        <v>40</v>
      </c>
      <c r="G44" s="35">
        <f t="shared" si="2"/>
        <v>2066775.4730326452</v>
      </c>
      <c r="H44" s="35">
        <f t="shared" si="3"/>
        <v>120051.5805404945</v>
      </c>
      <c r="I44" s="35">
        <f t="shared" si="4"/>
        <v>1946723.8924921507</v>
      </c>
      <c r="J44" s="35">
        <f t="shared" si="5"/>
        <v>9645777</v>
      </c>
      <c r="K44" s="42">
        <v>1.0355969057396885E-2</v>
      </c>
      <c r="M44" s="40">
        <v>40</v>
      </c>
      <c r="N44" s="38">
        <f t="shared" si="0"/>
        <v>1230905.95</v>
      </c>
      <c r="O44" s="38">
        <f t="shared" si="6"/>
        <v>49236238.000000022</v>
      </c>
      <c r="P44" s="33">
        <f t="shared" si="1"/>
        <v>24618118.999999978</v>
      </c>
    </row>
    <row r="45" spans="5:16" x14ac:dyDescent="0.25">
      <c r="E45" s="14"/>
      <c r="G45" s="4"/>
      <c r="H45" s="4"/>
      <c r="I45" s="4"/>
      <c r="J45" s="4"/>
      <c r="K45" s="16"/>
      <c r="M45" s="40">
        <v>41</v>
      </c>
      <c r="N45" s="38">
        <f t="shared" si="0"/>
        <v>1230905.95</v>
      </c>
      <c r="O45" s="38">
        <f t="shared" si="6"/>
        <v>50467143.950000025</v>
      </c>
      <c r="P45" s="33">
        <f t="shared" si="1"/>
        <v>23387213.049999975</v>
      </c>
    </row>
    <row r="46" spans="5:16" x14ac:dyDescent="0.25">
      <c r="E46" s="14"/>
      <c r="G46" s="4"/>
      <c r="H46" s="4"/>
      <c r="I46" s="4"/>
      <c r="J46" s="4"/>
      <c r="K46" s="16"/>
      <c r="M46" s="40">
        <v>42</v>
      </c>
      <c r="N46" s="38">
        <f t="shared" si="0"/>
        <v>1230905.95</v>
      </c>
      <c r="O46" s="38">
        <f t="shared" si="6"/>
        <v>51698049.900000028</v>
      </c>
      <c r="P46" s="33">
        <f t="shared" si="1"/>
        <v>22156307.099999972</v>
      </c>
    </row>
    <row r="47" spans="5:16" x14ac:dyDescent="0.25">
      <c r="E47" s="14"/>
      <c r="G47" s="4"/>
      <c r="H47" s="4"/>
      <c r="I47" s="4"/>
      <c r="J47" s="4"/>
      <c r="K47" s="16"/>
      <c r="M47" s="40">
        <v>43</v>
      </c>
      <c r="N47" s="38">
        <f t="shared" si="0"/>
        <v>1230905.95</v>
      </c>
      <c r="O47" s="38">
        <f t="shared" si="6"/>
        <v>52928955.850000031</v>
      </c>
      <c r="P47" s="33">
        <f t="shared" si="1"/>
        <v>20925401.149999969</v>
      </c>
    </row>
    <row r="48" spans="5:16" x14ac:dyDescent="0.25">
      <c r="E48" s="14"/>
      <c r="G48" s="4"/>
      <c r="H48" s="4"/>
      <c r="I48" s="4"/>
      <c r="J48" s="4"/>
      <c r="K48" s="16"/>
      <c r="M48" s="40">
        <v>44</v>
      </c>
      <c r="N48" s="38">
        <f t="shared" si="0"/>
        <v>1230905.95</v>
      </c>
      <c r="O48" s="38">
        <f t="shared" si="6"/>
        <v>54159861.800000034</v>
      </c>
      <c r="P48" s="33">
        <f t="shared" si="1"/>
        <v>19694495.199999966</v>
      </c>
    </row>
    <row r="49" spans="5:16" x14ac:dyDescent="0.25">
      <c r="E49" s="14"/>
      <c r="G49" s="4"/>
      <c r="H49" s="4"/>
      <c r="I49" s="4"/>
      <c r="J49" s="4"/>
      <c r="K49" s="16"/>
      <c r="M49" s="40">
        <v>45</v>
      </c>
      <c r="N49" s="38">
        <f t="shared" si="0"/>
        <v>1230905.95</v>
      </c>
      <c r="O49" s="38">
        <f t="shared" si="6"/>
        <v>55390767.750000037</v>
      </c>
      <c r="P49" s="33">
        <f t="shared" si="1"/>
        <v>18463589.249999963</v>
      </c>
    </row>
    <row r="50" spans="5:16" x14ac:dyDescent="0.25">
      <c r="E50" s="14"/>
      <c r="G50" s="4"/>
      <c r="H50" s="4"/>
      <c r="I50" s="4"/>
      <c r="J50" s="4"/>
      <c r="K50" s="16"/>
      <c r="M50" s="40">
        <v>46</v>
      </c>
      <c r="N50" s="38">
        <f t="shared" si="0"/>
        <v>1230905.95</v>
      </c>
      <c r="O50" s="38">
        <f t="shared" si="6"/>
        <v>56621673.70000004</v>
      </c>
      <c r="P50" s="33">
        <f t="shared" si="1"/>
        <v>17232683.29999996</v>
      </c>
    </row>
    <row r="51" spans="5:16" x14ac:dyDescent="0.25">
      <c r="E51" s="14"/>
      <c r="G51" s="4"/>
      <c r="H51" s="4"/>
      <c r="I51" s="4"/>
      <c r="J51" s="4"/>
      <c r="K51" s="16"/>
      <c r="M51" s="40">
        <v>47</v>
      </c>
      <c r="N51" s="38">
        <f t="shared" si="0"/>
        <v>1230905.95</v>
      </c>
      <c r="O51" s="38">
        <f t="shared" si="6"/>
        <v>57852579.650000043</v>
      </c>
      <c r="P51" s="33">
        <f t="shared" si="1"/>
        <v>16001777.349999957</v>
      </c>
    </row>
    <row r="52" spans="5:16" x14ac:dyDescent="0.25">
      <c r="E52" s="14"/>
      <c r="G52" s="4"/>
      <c r="H52" s="4"/>
      <c r="I52" s="4"/>
      <c r="J52" s="4"/>
      <c r="K52" s="16"/>
      <c r="M52" s="40">
        <v>48</v>
      </c>
      <c r="N52" s="38">
        <f t="shared" si="0"/>
        <v>1230905.95</v>
      </c>
      <c r="O52" s="38">
        <f t="shared" si="6"/>
        <v>59083485.600000046</v>
      </c>
      <c r="P52" s="33">
        <f t="shared" si="1"/>
        <v>14770871.399999954</v>
      </c>
    </row>
    <row r="53" spans="5:16" x14ac:dyDescent="0.25">
      <c r="E53" s="14"/>
      <c r="G53" s="4"/>
      <c r="H53" s="4"/>
      <c r="I53" s="4"/>
      <c r="J53" s="4"/>
      <c r="K53" s="16"/>
      <c r="M53" s="40">
        <v>49</v>
      </c>
      <c r="N53" s="38">
        <f t="shared" si="0"/>
        <v>1230905.95</v>
      </c>
      <c r="O53" s="38">
        <f t="shared" si="6"/>
        <v>60314391.550000049</v>
      </c>
      <c r="P53" s="33">
        <f t="shared" si="1"/>
        <v>13539965.449999951</v>
      </c>
    </row>
    <row r="54" spans="5:16" x14ac:dyDescent="0.25">
      <c r="E54" s="14"/>
      <c r="G54" s="4"/>
      <c r="H54" s="4"/>
      <c r="I54" s="4"/>
      <c r="J54" s="4"/>
      <c r="K54" s="16"/>
      <c r="M54" s="40">
        <v>50</v>
      </c>
      <c r="N54" s="38">
        <f t="shared" si="0"/>
        <v>1230905.95</v>
      </c>
      <c r="O54" s="38">
        <f t="shared" si="6"/>
        <v>61545297.500000052</v>
      </c>
      <c r="P54" s="33">
        <f t="shared" si="1"/>
        <v>12309059.499999948</v>
      </c>
    </row>
    <row r="55" spans="5:16" x14ac:dyDescent="0.25">
      <c r="E55" s="14"/>
      <c r="G55" s="4"/>
      <c r="H55" s="4"/>
      <c r="I55" s="4"/>
      <c r="J55" s="4"/>
      <c r="K55" s="16"/>
      <c r="M55" s="40">
        <v>51</v>
      </c>
      <c r="N55" s="38">
        <f t="shared" si="0"/>
        <v>1230905.95</v>
      </c>
      <c r="O55" s="38">
        <f t="shared" si="6"/>
        <v>62776203.450000055</v>
      </c>
      <c r="P55" s="33">
        <f t="shared" si="1"/>
        <v>11078153.549999945</v>
      </c>
    </row>
    <row r="56" spans="5:16" x14ac:dyDescent="0.25">
      <c r="E56" s="14"/>
      <c r="G56" s="4"/>
      <c r="H56" s="4"/>
      <c r="I56" s="4"/>
      <c r="J56" s="4"/>
      <c r="K56" s="16"/>
      <c r="M56" s="40">
        <v>52</v>
      </c>
      <c r="N56" s="38">
        <f t="shared" si="0"/>
        <v>1230905.95</v>
      </c>
      <c r="O56" s="38">
        <f t="shared" si="6"/>
        <v>64007109.400000058</v>
      </c>
      <c r="P56" s="33">
        <f t="shared" si="1"/>
        <v>9847247.5999999419</v>
      </c>
    </row>
    <row r="57" spans="5:16" x14ac:dyDescent="0.25">
      <c r="E57" s="14"/>
      <c r="G57" s="4"/>
      <c r="H57" s="4"/>
      <c r="I57" s="4"/>
      <c r="J57" s="4"/>
      <c r="K57" s="16"/>
      <c r="M57" s="40">
        <v>53</v>
      </c>
      <c r="N57" s="38">
        <f t="shared" si="0"/>
        <v>1230905.95</v>
      </c>
      <c r="O57" s="38">
        <f t="shared" si="6"/>
        <v>65238015.350000061</v>
      </c>
      <c r="P57" s="33">
        <f t="shared" si="1"/>
        <v>8616341.6499999389</v>
      </c>
    </row>
    <row r="58" spans="5:16" x14ac:dyDescent="0.25">
      <c r="E58" s="14"/>
      <c r="G58" s="4"/>
      <c r="H58" s="4"/>
      <c r="I58" s="4"/>
      <c r="J58" s="4"/>
      <c r="K58" s="16"/>
      <c r="M58" s="40">
        <v>54</v>
      </c>
      <c r="N58" s="38">
        <f t="shared" si="0"/>
        <v>1230905.95</v>
      </c>
      <c r="O58" s="38">
        <f t="shared" si="6"/>
        <v>66468921.300000064</v>
      </c>
      <c r="P58" s="33">
        <f t="shared" si="1"/>
        <v>7385435.6999999359</v>
      </c>
    </row>
    <row r="59" spans="5:16" x14ac:dyDescent="0.25">
      <c r="E59" s="14"/>
      <c r="G59" s="4"/>
      <c r="H59" s="4"/>
      <c r="I59" s="4"/>
      <c r="J59" s="4"/>
      <c r="K59" s="16"/>
      <c r="M59" s="40">
        <v>55</v>
      </c>
      <c r="N59" s="38">
        <f t="shared" si="0"/>
        <v>1230905.95</v>
      </c>
      <c r="O59" s="38">
        <f t="shared" si="6"/>
        <v>67699827.25000006</v>
      </c>
      <c r="P59" s="33">
        <f t="shared" si="1"/>
        <v>6154529.7499999404</v>
      </c>
    </row>
    <row r="60" spans="5:16" x14ac:dyDescent="0.25">
      <c r="E60" s="14"/>
      <c r="G60" s="4"/>
      <c r="H60" s="4"/>
      <c r="I60" s="4"/>
      <c r="J60" s="4"/>
      <c r="K60" s="16"/>
      <c r="M60" s="40">
        <v>56</v>
      </c>
      <c r="N60" s="38">
        <f t="shared" si="0"/>
        <v>1230905.95</v>
      </c>
      <c r="O60" s="38">
        <f t="shared" si="6"/>
        <v>68930733.200000063</v>
      </c>
      <c r="P60" s="33">
        <f t="shared" si="1"/>
        <v>4923623.7999999374</v>
      </c>
    </row>
    <row r="61" spans="5:16" x14ac:dyDescent="0.25">
      <c r="E61" s="14"/>
      <c r="G61" s="4"/>
      <c r="H61" s="4"/>
      <c r="I61" s="4"/>
      <c r="J61" s="4"/>
      <c r="K61" s="16"/>
      <c r="M61" s="40">
        <v>57</v>
      </c>
      <c r="N61" s="38">
        <f t="shared" si="0"/>
        <v>1230905.95</v>
      </c>
      <c r="O61" s="38">
        <f t="shared" si="6"/>
        <v>70161639.150000066</v>
      </c>
      <c r="P61" s="33">
        <f t="shared" si="1"/>
        <v>3692717.8499999344</v>
      </c>
    </row>
    <row r="62" spans="5:16" x14ac:dyDescent="0.25">
      <c r="E62" s="14"/>
      <c r="G62" s="4"/>
      <c r="H62" s="4"/>
      <c r="I62" s="4"/>
      <c r="J62" s="4"/>
      <c r="K62" s="16"/>
      <c r="M62" s="40">
        <v>58</v>
      </c>
      <c r="N62" s="38">
        <f t="shared" si="0"/>
        <v>1230905.95</v>
      </c>
      <c r="O62" s="38">
        <f t="shared" si="6"/>
        <v>71392545.100000069</v>
      </c>
      <c r="P62" s="33">
        <f t="shared" si="1"/>
        <v>2461811.8999999315</v>
      </c>
    </row>
    <row r="63" spans="5:16" x14ac:dyDescent="0.25">
      <c r="E63" s="14"/>
      <c r="G63" s="4"/>
      <c r="H63" s="4"/>
      <c r="I63" s="4"/>
      <c r="J63" s="4"/>
      <c r="K63" s="16"/>
      <c r="M63" s="40">
        <v>59</v>
      </c>
      <c r="N63" s="38">
        <f t="shared" si="0"/>
        <v>1230905.95</v>
      </c>
      <c r="O63" s="38">
        <f t="shared" si="6"/>
        <v>72623451.050000072</v>
      </c>
      <c r="P63" s="33">
        <f t="shared" si="1"/>
        <v>1230905.9499999285</v>
      </c>
    </row>
    <row r="64" spans="5:16" x14ac:dyDescent="0.25">
      <c r="E64" s="14"/>
      <c r="G64" s="4"/>
      <c r="H64" s="4"/>
      <c r="I64" s="4"/>
      <c r="J64" s="4"/>
      <c r="K64" s="16"/>
      <c r="M64" s="40">
        <v>60</v>
      </c>
      <c r="N64" s="38">
        <f t="shared" si="0"/>
        <v>1230905.95</v>
      </c>
      <c r="O64" s="38">
        <f t="shared" si="6"/>
        <v>73854357.000000075</v>
      </c>
      <c r="P64" s="33">
        <f t="shared" si="1"/>
        <v>0</v>
      </c>
    </row>
  </sheetData>
  <mergeCells count="2">
    <mergeCell ref="E2:K2"/>
    <mergeCell ref="M2:P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A17" sqref="A17"/>
    </sheetView>
  </sheetViews>
  <sheetFormatPr baseColWidth="10" defaultRowHeight="15" x14ac:dyDescent="0.25"/>
  <cols>
    <col min="1" max="1" width="25.140625" bestFit="1" customWidth="1"/>
    <col min="2" max="2" width="15.140625" style="4" bestFit="1" customWidth="1"/>
    <col min="3" max="3" width="18.85546875" style="4" bestFit="1" customWidth="1"/>
  </cols>
  <sheetData>
    <row r="1" spans="1:3" x14ac:dyDescent="0.25">
      <c r="A1" s="134" t="s">
        <v>33</v>
      </c>
      <c r="B1" s="134"/>
      <c r="C1" s="134"/>
    </row>
    <row r="2" spans="1:3" x14ac:dyDescent="0.25">
      <c r="A2" s="134" t="s">
        <v>34</v>
      </c>
      <c r="B2" s="134"/>
      <c r="C2" s="134"/>
    </row>
    <row r="3" spans="1:3" x14ac:dyDescent="0.25">
      <c r="A3" s="134">
        <v>2014</v>
      </c>
      <c r="B3" s="134"/>
      <c r="C3" s="134"/>
    </row>
    <row r="4" spans="1:3" x14ac:dyDescent="0.25">
      <c r="A4" s="135" t="s">
        <v>35</v>
      </c>
      <c r="B4" s="135"/>
      <c r="C4" s="135"/>
    </row>
    <row r="6" spans="1:3" x14ac:dyDescent="0.25">
      <c r="A6" t="s">
        <v>36</v>
      </c>
      <c r="C6" s="4">
        <v>1569812033</v>
      </c>
    </row>
    <row r="7" spans="1:3" x14ac:dyDescent="0.25">
      <c r="A7" t="s">
        <v>37</v>
      </c>
      <c r="C7" s="4">
        <v>1646586</v>
      </c>
    </row>
    <row r="8" spans="1:3" x14ac:dyDescent="0.25">
      <c r="A8" s="21" t="s">
        <v>38</v>
      </c>
      <c r="B8" s="22"/>
      <c r="C8" s="22">
        <f>+C6-C7</f>
        <v>1568165447</v>
      </c>
    </row>
    <row r="10" spans="1:3" x14ac:dyDescent="0.25">
      <c r="A10" t="s">
        <v>39</v>
      </c>
      <c r="C10" s="4">
        <v>696984682</v>
      </c>
    </row>
    <row r="12" spans="1:3" x14ac:dyDescent="0.25">
      <c r="A12" s="23" t="s">
        <v>40</v>
      </c>
      <c r="C12" s="24">
        <f>+C8-C10</f>
        <v>871180765</v>
      </c>
    </row>
    <row r="14" spans="1:3" x14ac:dyDescent="0.25">
      <c r="A14" t="s">
        <v>41</v>
      </c>
      <c r="B14" s="4">
        <v>581760242</v>
      </c>
    </row>
    <row r="15" spans="1:3" x14ac:dyDescent="0.25">
      <c r="A15" t="s">
        <v>42</v>
      </c>
      <c r="B15" s="4">
        <v>145061741</v>
      </c>
    </row>
    <row r="16" spans="1:3" x14ac:dyDescent="0.25">
      <c r="A16" s="21" t="s">
        <v>43</v>
      </c>
      <c r="B16" s="22"/>
      <c r="C16" s="22">
        <f>+SUM(B14:B15)</f>
        <v>726821983</v>
      </c>
    </row>
    <row r="18" spans="1:3" x14ac:dyDescent="0.25">
      <c r="A18" s="23" t="s">
        <v>44</v>
      </c>
      <c r="C18" s="24">
        <f>+C12-C16</f>
        <v>144358782</v>
      </c>
    </row>
    <row r="20" spans="1:3" x14ac:dyDescent="0.25">
      <c r="A20" t="s">
        <v>45</v>
      </c>
      <c r="B20" s="4">
        <v>70317813</v>
      </c>
    </row>
    <row r="21" spans="1:3" x14ac:dyDescent="0.25">
      <c r="A21" t="s">
        <v>46</v>
      </c>
      <c r="B21" s="4">
        <v>20489554</v>
      </c>
    </row>
    <row r="22" spans="1:3" x14ac:dyDescent="0.25">
      <c r="A22" t="s">
        <v>47</v>
      </c>
      <c r="C22" s="22">
        <f>+SUM(B20:B21)</f>
        <v>90807367</v>
      </c>
    </row>
    <row r="24" spans="1:3" x14ac:dyDescent="0.25">
      <c r="A24" t="s">
        <v>48</v>
      </c>
      <c r="B24" s="4">
        <v>1677907</v>
      </c>
    </row>
    <row r="25" spans="1:3" x14ac:dyDescent="0.25">
      <c r="A25" t="s">
        <v>49</v>
      </c>
      <c r="B25" s="4">
        <v>23546447</v>
      </c>
    </row>
    <row r="26" spans="1:3" x14ac:dyDescent="0.25">
      <c r="A26" t="s">
        <v>50</v>
      </c>
      <c r="C26" s="22">
        <f>+SUM(B24:B25)</f>
        <v>25224354</v>
      </c>
    </row>
    <row r="28" spans="1:3" x14ac:dyDescent="0.25">
      <c r="A28" s="23" t="s">
        <v>51</v>
      </c>
      <c r="C28" s="24">
        <f>+C18-C22+C26</f>
        <v>78775769</v>
      </c>
    </row>
    <row r="30" spans="1:3" x14ac:dyDescent="0.25">
      <c r="A30" t="s">
        <v>52</v>
      </c>
      <c r="C30" s="4">
        <v>38309000</v>
      </c>
    </row>
    <row r="32" spans="1:3" x14ac:dyDescent="0.25">
      <c r="A32" s="23" t="s">
        <v>53</v>
      </c>
      <c r="C32" s="24">
        <f>+C28-C30</f>
        <v>40466769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2" workbookViewId="0">
      <selection activeCell="C34" sqref="C34"/>
    </sheetView>
  </sheetViews>
  <sheetFormatPr baseColWidth="10" defaultRowHeight="15" x14ac:dyDescent="0.25"/>
  <cols>
    <col min="1" max="1" width="34.28515625" customWidth="1"/>
    <col min="2" max="2" width="13.28515625" style="4" bestFit="1" customWidth="1"/>
    <col min="3" max="3" width="14.140625" bestFit="1" customWidth="1"/>
  </cols>
  <sheetData>
    <row r="1" spans="1:3" x14ac:dyDescent="0.25">
      <c r="A1" s="134" t="s">
        <v>33</v>
      </c>
      <c r="B1" s="134"/>
      <c r="C1" s="134"/>
    </row>
    <row r="2" spans="1:3" x14ac:dyDescent="0.25">
      <c r="A2" s="134" t="s">
        <v>54</v>
      </c>
      <c r="B2" s="134"/>
      <c r="C2" s="134"/>
    </row>
    <row r="3" spans="1:3" x14ac:dyDescent="0.25">
      <c r="A3" s="134" t="s">
        <v>55</v>
      </c>
      <c r="B3" s="134"/>
      <c r="C3" s="134"/>
    </row>
    <row r="4" spans="1:3" x14ac:dyDescent="0.25">
      <c r="A4" s="134" t="s">
        <v>56</v>
      </c>
      <c r="B4" s="134"/>
      <c r="C4" s="134"/>
    </row>
    <row r="6" spans="1:3" x14ac:dyDescent="0.25">
      <c r="A6" s="23" t="s">
        <v>57</v>
      </c>
    </row>
    <row r="7" spans="1:3" x14ac:dyDescent="0.25">
      <c r="A7" s="23" t="s">
        <v>58</v>
      </c>
      <c r="C7" s="25">
        <f>SUM(B8:B15)</f>
        <v>776492985</v>
      </c>
    </row>
    <row r="8" spans="1:3" x14ac:dyDescent="0.25">
      <c r="A8" t="s">
        <v>59</v>
      </c>
      <c r="B8" s="4">
        <v>2591150</v>
      </c>
    </row>
    <row r="9" spans="1:3" x14ac:dyDescent="0.25">
      <c r="A9" t="s">
        <v>60</v>
      </c>
      <c r="B9" s="4">
        <v>92437790</v>
      </c>
    </row>
    <row r="10" spans="1:3" x14ac:dyDescent="0.25">
      <c r="A10" t="s">
        <v>61</v>
      </c>
      <c r="B10" s="4">
        <v>93480968</v>
      </c>
    </row>
    <row r="11" spans="1:3" x14ac:dyDescent="0.25">
      <c r="A11" t="s">
        <v>62</v>
      </c>
      <c r="B11" s="4">
        <v>5000000</v>
      </c>
    </row>
    <row r="12" spans="1:3" x14ac:dyDescent="0.25">
      <c r="A12" t="s">
        <v>63</v>
      </c>
      <c r="B12" s="4">
        <v>89689285</v>
      </c>
    </row>
    <row r="13" spans="1:3" x14ac:dyDescent="0.25">
      <c r="A13" t="s">
        <v>64</v>
      </c>
      <c r="B13" s="4">
        <v>72771039</v>
      </c>
    </row>
    <row r="14" spans="1:3" x14ac:dyDescent="0.25">
      <c r="A14" t="s">
        <v>65</v>
      </c>
      <c r="B14" s="4">
        <v>401625780</v>
      </c>
    </row>
    <row r="15" spans="1:3" x14ac:dyDescent="0.25">
      <c r="A15" t="s">
        <v>66</v>
      </c>
      <c r="B15" s="4">
        <v>18896973</v>
      </c>
    </row>
    <row r="17" spans="1:3" x14ac:dyDescent="0.25">
      <c r="A17" s="23" t="s">
        <v>67</v>
      </c>
      <c r="C17" s="25">
        <f>SUM(B18:B19)</f>
        <v>437234040</v>
      </c>
    </row>
    <row r="18" spans="1:3" x14ac:dyDescent="0.25">
      <c r="A18" t="s">
        <v>68</v>
      </c>
      <c r="B18" s="4">
        <v>687885918</v>
      </c>
    </row>
    <row r="19" spans="1:3" x14ac:dyDescent="0.25">
      <c r="A19" t="s">
        <v>69</v>
      </c>
      <c r="B19" s="4">
        <v>-250651878</v>
      </c>
    </row>
    <row r="21" spans="1:3" x14ac:dyDescent="0.25">
      <c r="A21" s="23" t="s">
        <v>70</v>
      </c>
      <c r="B21" s="24"/>
      <c r="C21" s="25">
        <f>+C7+C17</f>
        <v>1213727025</v>
      </c>
    </row>
    <row r="23" spans="1:3" x14ac:dyDescent="0.25">
      <c r="A23" s="23" t="s">
        <v>71</v>
      </c>
    </row>
    <row r="24" spans="1:3" x14ac:dyDescent="0.25">
      <c r="A24" s="23" t="s">
        <v>58</v>
      </c>
      <c r="C24" s="25">
        <f>SUM(B25:B32)</f>
        <v>803287464</v>
      </c>
    </row>
    <row r="25" spans="1:3" x14ac:dyDescent="0.25">
      <c r="A25" s="21" t="s">
        <v>72</v>
      </c>
      <c r="B25" s="4">
        <v>487034739</v>
      </c>
    </row>
    <row r="26" spans="1:3" x14ac:dyDescent="0.25">
      <c r="A26" s="21" t="s">
        <v>73</v>
      </c>
      <c r="B26" s="4">
        <v>5624501</v>
      </c>
    </row>
    <row r="27" spans="1:3" x14ac:dyDescent="0.25">
      <c r="A27" s="21" t="s">
        <v>74</v>
      </c>
      <c r="B27" s="4">
        <v>106782110</v>
      </c>
    </row>
    <row r="28" spans="1:3" x14ac:dyDescent="0.25">
      <c r="A28" s="21" t="s">
        <v>75</v>
      </c>
      <c r="B28" s="4">
        <v>13137000</v>
      </c>
    </row>
    <row r="29" spans="1:3" x14ac:dyDescent="0.25">
      <c r="A29" s="21" t="s">
        <v>76</v>
      </c>
      <c r="B29" s="4">
        <v>38535101</v>
      </c>
    </row>
    <row r="30" spans="1:3" x14ac:dyDescent="0.25">
      <c r="A30" s="21" t="s">
        <v>77</v>
      </c>
      <c r="B30" s="4">
        <v>17200892</v>
      </c>
    </row>
    <row r="31" spans="1:3" x14ac:dyDescent="0.25">
      <c r="A31" s="21" t="s">
        <v>78</v>
      </c>
      <c r="B31" s="4">
        <v>33830836</v>
      </c>
    </row>
    <row r="32" spans="1:3" x14ac:dyDescent="0.25">
      <c r="A32" s="21" t="s">
        <v>79</v>
      </c>
      <c r="B32" s="4">
        <v>101142285</v>
      </c>
    </row>
    <row r="34" spans="1:3" x14ac:dyDescent="0.25">
      <c r="A34" s="23" t="s">
        <v>80</v>
      </c>
      <c r="B34" s="24"/>
      <c r="C34" s="25">
        <f>SUM(B35:B39)</f>
        <v>410439561</v>
      </c>
    </row>
    <row r="35" spans="1:3" x14ac:dyDescent="0.25">
      <c r="A35" t="s">
        <v>81</v>
      </c>
      <c r="B35" s="4">
        <v>180000000</v>
      </c>
    </row>
    <row r="36" spans="1:3" x14ac:dyDescent="0.25">
      <c r="A36" t="s">
        <v>82</v>
      </c>
      <c r="B36" s="4">
        <v>12201417</v>
      </c>
    </row>
    <row r="37" spans="1:3" x14ac:dyDescent="0.25">
      <c r="A37" t="s">
        <v>83</v>
      </c>
      <c r="B37" s="4">
        <v>89641286</v>
      </c>
    </row>
    <row r="38" spans="1:3" x14ac:dyDescent="0.25">
      <c r="A38" t="s">
        <v>84</v>
      </c>
      <c r="B38" s="4">
        <v>40466770</v>
      </c>
    </row>
    <row r="39" spans="1:3" x14ac:dyDescent="0.25">
      <c r="A39" t="s">
        <v>85</v>
      </c>
      <c r="B39" s="4">
        <v>88130088</v>
      </c>
    </row>
    <row r="41" spans="1:3" x14ac:dyDescent="0.25">
      <c r="A41" s="23" t="s">
        <v>86</v>
      </c>
      <c r="C41" s="25">
        <f>+C24+C34</f>
        <v>1213727025</v>
      </c>
    </row>
    <row r="43" spans="1:3" x14ac:dyDescent="0.25">
      <c r="A43" s="23" t="s">
        <v>87</v>
      </c>
      <c r="C43" s="25">
        <f>+C21-C41</f>
        <v>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"/>
  <sheetViews>
    <sheetView workbookViewId="0">
      <selection activeCell="E7" sqref="E7"/>
    </sheetView>
  </sheetViews>
  <sheetFormatPr baseColWidth="10" defaultRowHeight="15" x14ac:dyDescent="0.25"/>
  <cols>
    <col min="1" max="1" width="33.5703125" bestFit="1" customWidth="1"/>
    <col min="2" max="3" width="15.140625" style="28" bestFit="1" customWidth="1"/>
    <col min="4" max="5" width="12.5703125" bestFit="1" customWidth="1"/>
    <col min="8" max="8" width="12.5703125" bestFit="1" customWidth="1"/>
  </cols>
  <sheetData>
    <row r="1" spans="1:9" s="23" customFormat="1" x14ac:dyDescent="0.25">
      <c r="A1" s="130" t="s">
        <v>115</v>
      </c>
      <c r="B1" s="130"/>
      <c r="C1" s="130"/>
      <c r="D1" s="130"/>
      <c r="E1" s="130"/>
      <c r="F1" s="130"/>
      <c r="G1" s="130"/>
    </row>
    <row r="2" spans="1:9" s="23" customFormat="1" x14ac:dyDescent="0.25">
      <c r="A2" s="29"/>
      <c r="B2" s="136" t="s">
        <v>101</v>
      </c>
      <c r="C2" s="136"/>
      <c r="D2" s="136" t="s">
        <v>102</v>
      </c>
      <c r="E2" s="136"/>
      <c r="F2" s="136" t="s">
        <v>103</v>
      </c>
      <c r="G2" s="136"/>
    </row>
    <row r="3" spans="1:9" s="23" customFormat="1" x14ac:dyDescent="0.25">
      <c r="A3" s="29" t="s">
        <v>95</v>
      </c>
      <c r="B3" s="30" t="s">
        <v>96</v>
      </c>
      <c r="C3" s="30" t="s">
        <v>97</v>
      </c>
      <c r="D3" s="30" t="s">
        <v>96</v>
      </c>
      <c r="E3" s="30" t="s">
        <v>97</v>
      </c>
      <c r="F3" s="30" t="s">
        <v>96</v>
      </c>
      <c r="G3" s="30" t="s">
        <v>97</v>
      </c>
      <c r="H3" s="29" t="s">
        <v>111</v>
      </c>
    </row>
    <row r="4" spans="1:9" x14ac:dyDescent="0.25">
      <c r="A4" s="31" t="s">
        <v>98</v>
      </c>
      <c r="B4" s="32">
        <f>+'Contrato 9312'!B5</f>
        <v>100000000</v>
      </c>
      <c r="C4" s="32"/>
      <c r="D4" s="32">
        <f>'Contrato 9311'!B5</f>
        <v>100000000</v>
      </c>
      <c r="E4" s="32"/>
      <c r="F4" s="32">
        <f>+'Contrato 24606'!C5</f>
        <v>73854357</v>
      </c>
      <c r="G4" s="32"/>
      <c r="H4" s="38">
        <f>SUM(B4:G4)</f>
        <v>273854357</v>
      </c>
      <c r="I4" t="s">
        <v>116</v>
      </c>
    </row>
    <row r="5" spans="1:9" x14ac:dyDescent="0.25">
      <c r="A5" s="31" t="s">
        <v>23</v>
      </c>
      <c r="B5" s="32"/>
      <c r="C5" s="32">
        <f>+'Contrato 9312'!P15</f>
        <v>18333333.333333332</v>
      </c>
      <c r="D5" s="32"/>
      <c r="E5" s="32">
        <f>+'Contrato 9311'!P15</f>
        <v>18333333.333333332</v>
      </c>
      <c r="F5" s="32"/>
      <c r="G5" s="32">
        <f>+'Contrato 24606'!O12</f>
        <v>9847247.5999999996</v>
      </c>
      <c r="H5" s="38">
        <f t="shared" ref="H5:H7" si="0">SUM(B5:G5)</f>
        <v>46513914.266666666</v>
      </c>
    </row>
    <row r="6" spans="1:9" x14ac:dyDescent="0.25">
      <c r="A6" s="31" t="s">
        <v>99</v>
      </c>
      <c r="B6" s="32"/>
      <c r="C6" s="32">
        <f>+'Contrato 9312'!K15</f>
        <v>60040664.119745649</v>
      </c>
      <c r="D6" s="32"/>
      <c r="E6" s="32">
        <f>+'Contrato 9311'!K15</f>
        <v>77195139.582530096</v>
      </c>
      <c r="F6" s="32"/>
      <c r="G6" s="32">
        <f>+'Contrato 24606'!J12</f>
        <v>62986967.588121235</v>
      </c>
      <c r="H6" s="38">
        <f t="shared" si="0"/>
        <v>200222771.29039699</v>
      </c>
    </row>
    <row r="7" spans="1:9" x14ac:dyDescent="0.25">
      <c r="A7" s="31" t="s">
        <v>100</v>
      </c>
      <c r="B7" s="32"/>
      <c r="C7" s="32">
        <f>+B4-C5-C6</f>
        <v>21626002.546921022</v>
      </c>
      <c r="D7" s="32"/>
      <c r="E7" s="32">
        <f>+D4-E5-E6</f>
        <v>4471527.0841365755</v>
      </c>
      <c r="F7" s="32"/>
      <c r="G7" s="32">
        <f>+F4-G5-G6</f>
        <v>1020141.8118787631</v>
      </c>
      <c r="H7" s="38">
        <f t="shared" si="0"/>
        <v>27117671.442936361</v>
      </c>
    </row>
    <row r="8" spans="1:9" x14ac:dyDescent="0.25">
      <c r="A8" s="29" t="s">
        <v>104</v>
      </c>
      <c r="B8" s="32">
        <f t="shared" ref="B8:G8" si="1">SUM(B4:B7)</f>
        <v>100000000</v>
      </c>
      <c r="C8" s="32">
        <f t="shared" si="1"/>
        <v>100000000</v>
      </c>
      <c r="D8" s="32">
        <f t="shared" si="1"/>
        <v>100000000</v>
      </c>
      <c r="E8" s="32">
        <f t="shared" si="1"/>
        <v>100000000</v>
      </c>
      <c r="F8" s="32">
        <f t="shared" si="1"/>
        <v>73854357</v>
      </c>
      <c r="G8" s="32">
        <f t="shared" si="1"/>
        <v>73854357</v>
      </c>
    </row>
    <row r="9" spans="1:9" x14ac:dyDescent="0.25">
      <c r="D9" s="28"/>
      <c r="E9" s="28"/>
      <c r="F9" s="28"/>
      <c r="G9" s="28"/>
    </row>
    <row r="10" spans="1:9" x14ac:dyDescent="0.25">
      <c r="A10" s="29" t="s">
        <v>95</v>
      </c>
      <c r="B10" s="30" t="s">
        <v>96</v>
      </c>
      <c r="C10" s="30" t="s">
        <v>97</v>
      </c>
      <c r="D10" s="29" t="s">
        <v>111</v>
      </c>
      <c r="E10" s="28"/>
      <c r="F10" s="28"/>
      <c r="G10" s="28"/>
    </row>
    <row r="11" spans="1:9" x14ac:dyDescent="0.25">
      <c r="A11" s="31" t="str">
        <f>+'BG Inicial'!A15</f>
        <v>Activos diferidos</v>
      </c>
      <c r="B11" s="32"/>
      <c r="C11" s="32">
        <f>+'BG Inicial'!B15</f>
        <v>18896973</v>
      </c>
      <c r="D11" s="38">
        <f>SUM(B11:C11)</f>
        <v>18896973</v>
      </c>
      <c r="E11" s="50" t="s">
        <v>165</v>
      </c>
      <c r="F11" s="28"/>
      <c r="G11" s="28"/>
    </row>
    <row r="12" spans="1:9" x14ac:dyDescent="0.25">
      <c r="A12" s="31" t="s">
        <v>100</v>
      </c>
      <c r="B12" s="32">
        <f>+C11</f>
        <v>18896973</v>
      </c>
      <c r="C12" s="32"/>
      <c r="D12" s="38">
        <f>SUM(B12:C12)</f>
        <v>18896973</v>
      </c>
      <c r="E12" s="28"/>
      <c r="F12" s="28"/>
      <c r="G12" s="28"/>
    </row>
    <row r="13" spans="1:9" x14ac:dyDescent="0.25">
      <c r="A13" s="29" t="s">
        <v>104</v>
      </c>
      <c r="B13" s="32">
        <f>SUM(B11:B12)</f>
        <v>18896973</v>
      </c>
      <c r="C13" s="32">
        <f>SUM(C11:C12)</f>
        <v>18896973</v>
      </c>
      <c r="D13" s="28"/>
      <c r="E13" s="28"/>
      <c r="F13" s="28"/>
      <c r="G13" s="28"/>
    </row>
    <row r="14" spans="1:9" x14ac:dyDescent="0.25">
      <c r="D14" s="28"/>
      <c r="E14" s="28"/>
      <c r="F14" s="28"/>
      <c r="G14" s="28"/>
    </row>
    <row r="16" spans="1:9" x14ac:dyDescent="0.25">
      <c r="A16" t="s">
        <v>112</v>
      </c>
    </row>
  </sheetData>
  <mergeCells count="4">
    <mergeCell ref="B2:C2"/>
    <mergeCell ref="D2:E2"/>
    <mergeCell ref="F2:G2"/>
    <mergeCell ref="A1:G1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8"/>
  <sheetViews>
    <sheetView topLeftCell="B39" workbookViewId="0">
      <selection activeCell="G19" sqref="G19"/>
    </sheetView>
  </sheetViews>
  <sheetFormatPr baseColWidth="10" defaultRowHeight="15" x14ac:dyDescent="0.25"/>
  <cols>
    <col min="1" max="1" width="25" customWidth="1"/>
    <col min="2" max="2" width="16.140625" bestFit="1" customWidth="1"/>
    <col min="3" max="3" width="12.28515625" style="28" customWidth="1"/>
    <col min="4" max="4" width="12.7109375" style="28" customWidth="1"/>
    <col min="5" max="6" width="12.5703125" style="28" customWidth="1"/>
    <col min="7" max="7" width="18.85546875" style="28" bestFit="1" customWidth="1"/>
    <col min="8" max="8" width="11.140625" style="51" bestFit="1" customWidth="1"/>
    <col min="9" max="9" width="10.5703125" bestFit="1" customWidth="1"/>
    <col min="10" max="10" width="10.5703125" customWidth="1"/>
    <col min="11" max="11" width="40.7109375" bestFit="1" customWidth="1"/>
    <col min="12" max="12" width="18.85546875" bestFit="1" customWidth="1"/>
  </cols>
  <sheetData>
    <row r="2" spans="1:13" s="23" customFormat="1" x14ac:dyDescent="0.25">
      <c r="A2" s="29" t="s">
        <v>93</v>
      </c>
      <c r="B2" s="29" t="s">
        <v>94</v>
      </c>
      <c r="C2" s="30" t="s">
        <v>108</v>
      </c>
      <c r="D2" s="30" t="s">
        <v>97</v>
      </c>
      <c r="E2" s="30" t="s">
        <v>108</v>
      </c>
      <c r="F2" s="30" t="s">
        <v>97</v>
      </c>
      <c r="G2" s="30" t="s">
        <v>109</v>
      </c>
      <c r="H2" s="130" t="s">
        <v>119</v>
      </c>
      <c r="I2" s="130"/>
      <c r="J2"/>
      <c r="K2" s="29" t="s">
        <v>94</v>
      </c>
      <c r="L2" s="30" t="s">
        <v>109</v>
      </c>
      <c r="M2" s="103"/>
    </row>
    <row r="3" spans="1:13" x14ac:dyDescent="0.25">
      <c r="A3" s="31"/>
      <c r="B3" s="31"/>
      <c r="C3" s="32"/>
      <c r="D3" s="32"/>
      <c r="E3" s="32"/>
      <c r="F3" s="32"/>
      <c r="G3" s="32"/>
      <c r="H3" s="52" t="s">
        <v>117</v>
      </c>
      <c r="I3" s="29" t="s">
        <v>118</v>
      </c>
      <c r="K3" s="31"/>
      <c r="L3" s="31"/>
    </row>
    <row r="4" spans="1:13" x14ac:dyDescent="0.25">
      <c r="A4" s="29" t="s">
        <v>57</v>
      </c>
      <c r="B4" s="46">
        <f>+B5+B14</f>
        <v>1213727025</v>
      </c>
      <c r="C4" s="32"/>
      <c r="D4" s="32"/>
      <c r="E4" s="32"/>
      <c r="F4" s="32"/>
      <c r="G4" s="30">
        <f>+G5+G14</f>
        <v>1422170494.7333333</v>
      </c>
      <c r="H4" s="53">
        <f>+G4-B4</f>
        <v>208443469.73333335</v>
      </c>
      <c r="I4" s="54">
        <f>+H4/B4</f>
        <v>0.17173834432279642</v>
      </c>
      <c r="K4" s="31"/>
      <c r="L4" s="31"/>
    </row>
    <row r="5" spans="1:13" x14ac:dyDescent="0.25">
      <c r="A5" s="29" t="s">
        <v>58</v>
      </c>
      <c r="B5" s="46">
        <f>SUM(B6:B13)</f>
        <v>776492985</v>
      </c>
      <c r="C5" s="32"/>
      <c r="D5" s="32"/>
      <c r="E5" s="32"/>
      <c r="F5" s="32"/>
      <c r="G5" s="30">
        <f>SUM(G6:G13)</f>
        <v>757596012</v>
      </c>
      <c r="H5" s="53">
        <f t="shared" ref="H5:H37" si="0">+G5-B5</f>
        <v>-18896973</v>
      </c>
      <c r="I5" s="54">
        <f t="shared" ref="I5:I33" si="1">+H5/B5</f>
        <v>-2.4336308717586162E-2</v>
      </c>
      <c r="K5" s="54">
        <f>+B5/$B$4</f>
        <v>0.63975916248548559</v>
      </c>
      <c r="L5" s="54">
        <f t="shared" ref="L5:L16" si="2">+G5/$G$4</f>
        <v>0.53270407085899674</v>
      </c>
    </row>
    <row r="6" spans="1:13" x14ac:dyDescent="0.25">
      <c r="A6" s="31" t="s">
        <v>59</v>
      </c>
      <c r="B6" s="35">
        <v>2591150</v>
      </c>
      <c r="C6" s="32"/>
      <c r="D6" s="32"/>
      <c r="E6" s="32"/>
      <c r="F6" s="32"/>
      <c r="G6" s="32">
        <f t="shared" ref="G6:G13" si="3">+B6+C6+E6-D6-F6</f>
        <v>2591150</v>
      </c>
      <c r="H6" s="53">
        <f t="shared" si="0"/>
        <v>0</v>
      </c>
      <c r="I6" s="55">
        <f t="shared" si="1"/>
        <v>0</v>
      </c>
      <c r="K6" s="54">
        <f>+B6/$B$4</f>
        <v>2.1348704829242801E-3</v>
      </c>
      <c r="L6" s="54">
        <f t="shared" si="2"/>
        <v>1.8219686103710499E-3</v>
      </c>
    </row>
    <row r="7" spans="1:13" x14ac:dyDescent="0.25">
      <c r="A7" s="31" t="s">
        <v>60</v>
      </c>
      <c r="B7" s="35">
        <v>92437790</v>
      </c>
      <c r="C7" s="32"/>
      <c r="D7" s="32"/>
      <c r="E7" s="32"/>
      <c r="F7" s="32"/>
      <c r="G7" s="32">
        <f t="shared" si="3"/>
        <v>92437790</v>
      </c>
      <c r="H7" s="53">
        <f t="shared" si="0"/>
        <v>0</v>
      </c>
      <c r="I7" s="55">
        <f t="shared" si="1"/>
        <v>0</v>
      </c>
      <c r="K7" s="54">
        <f t="shared" ref="K7:K16" si="4">+B7/$B$4</f>
        <v>7.6160279944330972E-2</v>
      </c>
      <c r="L7" s="54">
        <f t="shared" si="2"/>
        <v>6.4997685117446288E-2</v>
      </c>
    </row>
    <row r="8" spans="1:13" x14ac:dyDescent="0.25">
      <c r="A8" s="31" t="s">
        <v>61</v>
      </c>
      <c r="B8" s="35">
        <v>93480968</v>
      </c>
      <c r="C8" s="32"/>
      <c r="D8" s="32"/>
      <c r="E8" s="32"/>
      <c r="F8" s="32"/>
      <c r="G8" s="32">
        <f t="shared" si="3"/>
        <v>93480968</v>
      </c>
      <c r="H8" s="53">
        <f t="shared" si="0"/>
        <v>0</v>
      </c>
      <c r="I8" s="55">
        <f t="shared" si="1"/>
        <v>0</v>
      </c>
      <c r="K8" s="54">
        <f t="shared" si="4"/>
        <v>7.7019763154734078E-2</v>
      </c>
      <c r="L8" s="54">
        <f t="shared" si="2"/>
        <v>6.5731196327152269E-2</v>
      </c>
    </row>
    <row r="9" spans="1:13" x14ac:dyDescent="0.25">
      <c r="A9" s="31" t="s">
        <v>62</v>
      </c>
      <c r="B9" s="35">
        <v>5000000</v>
      </c>
      <c r="C9" s="32"/>
      <c r="D9" s="32"/>
      <c r="E9" s="32"/>
      <c r="F9" s="32"/>
      <c r="G9" s="32">
        <f t="shared" si="3"/>
        <v>5000000</v>
      </c>
      <c r="H9" s="53">
        <f t="shared" si="0"/>
        <v>0</v>
      </c>
      <c r="I9" s="55">
        <f t="shared" si="1"/>
        <v>0</v>
      </c>
      <c r="K9" s="54">
        <f t="shared" si="4"/>
        <v>4.1195424481876393E-3</v>
      </c>
      <c r="L9" s="54">
        <f t="shared" si="2"/>
        <v>3.5157528710631379E-3</v>
      </c>
    </row>
    <row r="10" spans="1:13" x14ac:dyDescent="0.25">
      <c r="A10" s="31" t="s">
        <v>63</v>
      </c>
      <c r="B10" s="35">
        <v>89689285</v>
      </c>
      <c r="C10" s="32"/>
      <c r="D10" s="32"/>
      <c r="E10" s="32"/>
      <c r="F10" s="32"/>
      <c r="G10" s="32">
        <f t="shared" si="3"/>
        <v>89689285</v>
      </c>
      <c r="H10" s="53">
        <f t="shared" si="0"/>
        <v>0</v>
      </c>
      <c r="I10" s="55">
        <f t="shared" si="1"/>
        <v>0</v>
      </c>
      <c r="K10" s="54">
        <f t="shared" si="4"/>
        <v>7.3895763341019785E-2</v>
      </c>
      <c r="L10" s="54">
        <f t="shared" si="2"/>
        <v>6.3065072248470008E-2</v>
      </c>
    </row>
    <row r="11" spans="1:13" x14ac:dyDescent="0.25">
      <c r="A11" s="31" t="s">
        <v>64</v>
      </c>
      <c r="B11" s="35">
        <v>72771039</v>
      </c>
      <c r="C11" s="32"/>
      <c r="D11" s="32"/>
      <c r="E11" s="32"/>
      <c r="F11" s="32"/>
      <c r="G11" s="32">
        <f t="shared" si="3"/>
        <v>72771039</v>
      </c>
      <c r="H11" s="53">
        <f t="shared" si="0"/>
        <v>0</v>
      </c>
      <c r="I11" s="55">
        <f t="shared" si="1"/>
        <v>0</v>
      </c>
      <c r="K11" s="54">
        <f t="shared" si="4"/>
        <v>5.9956676831843636E-2</v>
      </c>
      <c r="L11" s="54">
        <f t="shared" si="2"/>
        <v>5.1168997858899515E-2</v>
      </c>
    </row>
    <row r="12" spans="1:13" x14ac:dyDescent="0.25">
      <c r="A12" s="31" t="s">
        <v>65</v>
      </c>
      <c r="B12" s="35">
        <v>401625780</v>
      </c>
      <c r="C12" s="32"/>
      <c r="D12" s="32"/>
      <c r="E12" s="32"/>
      <c r="F12" s="32"/>
      <c r="G12" s="32">
        <f t="shared" si="3"/>
        <v>401625780</v>
      </c>
      <c r="H12" s="53">
        <f t="shared" si="0"/>
        <v>0</v>
      </c>
      <c r="I12" s="55">
        <f t="shared" si="1"/>
        <v>0</v>
      </c>
      <c r="K12" s="54">
        <f t="shared" si="4"/>
        <v>0.33090288979929405</v>
      </c>
      <c r="L12" s="54">
        <f t="shared" si="2"/>
        <v>0.28240339782559443</v>
      </c>
    </row>
    <row r="13" spans="1:13" x14ac:dyDescent="0.25">
      <c r="A13" s="31" t="s">
        <v>66</v>
      </c>
      <c r="B13" s="35">
        <v>18896973</v>
      </c>
      <c r="C13" s="32"/>
      <c r="D13" s="32">
        <f>+'Ajustes convergencia'!C11</f>
        <v>18896973</v>
      </c>
      <c r="E13" s="32"/>
      <c r="F13" s="32"/>
      <c r="G13" s="32">
        <f t="shared" si="3"/>
        <v>0</v>
      </c>
      <c r="H13" s="53">
        <f>+G13-B13</f>
        <v>-18896973</v>
      </c>
      <c r="I13" s="54">
        <f t="shared" si="1"/>
        <v>-1</v>
      </c>
      <c r="K13" s="54">
        <f t="shared" si="4"/>
        <v>1.5569376483151143E-2</v>
      </c>
      <c r="L13" s="54">
        <f t="shared" si="2"/>
        <v>0</v>
      </c>
    </row>
    <row r="14" spans="1:13" x14ac:dyDescent="0.25">
      <c r="A14" s="29" t="s">
        <v>67</v>
      </c>
      <c r="B14" s="47">
        <f>B15-B16</f>
        <v>437234040</v>
      </c>
      <c r="C14" s="32"/>
      <c r="D14" s="32"/>
      <c r="E14" s="32"/>
      <c r="F14" s="32"/>
      <c r="G14" s="30">
        <f>G15-G16</f>
        <v>664574482.73333335</v>
      </c>
      <c r="H14" s="53">
        <f t="shared" si="0"/>
        <v>227340442.73333335</v>
      </c>
      <c r="I14" s="54">
        <f t="shared" si="1"/>
        <v>0.5199513805771695</v>
      </c>
      <c r="K14" s="54">
        <f t="shared" si="4"/>
        <v>0.36024083751451441</v>
      </c>
      <c r="L14" s="54">
        <f t="shared" si="2"/>
        <v>0.46729592914100332</v>
      </c>
    </row>
    <row r="15" spans="1:13" x14ac:dyDescent="0.25">
      <c r="A15" s="31" t="s">
        <v>68</v>
      </c>
      <c r="B15" s="35">
        <v>687885918</v>
      </c>
      <c r="C15" s="32"/>
      <c r="D15" s="32"/>
      <c r="E15" s="32">
        <f>+'Ajustes convergencia'!H4</f>
        <v>273854357</v>
      </c>
      <c r="G15" s="104">
        <f>+B15+C15+E15-D15-F15</f>
        <v>961740275</v>
      </c>
      <c r="H15" s="53">
        <f t="shared" si="0"/>
        <v>273854357</v>
      </c>
      <c r="I15" s="54">
        <f t="shared" si="1"/>
        <v>0.39811013691953495</v>
      </c>
      <c r="K15" s="54">
        <f t="shared" si="4"/>
        <v>0.56675504774230434</v>
      </c>
      <c r="L15" s="54">
        <f t="shared" si="2"/>
        <v>0.67624822660966033</v>
      </c>
    </row>
    <row r="16" spans="1:13" x14ac:dyDescent="0.25">
      <c r="A16" s="31" t="s">
        <v>69</v>
      </c>
      <c r="B16" s="35">
        <v>250651878</v>
      </c>
      <c r="C16" s="32"/>
      <c r="D16" s="32"/>
      <c r="E16" s="32"/>
      <c r="F16" s="32">
        <f>+'Ajustes convergencia'!H5</f>
        <v>46513914.266666666</v>
      </c>
      <c r="G16" s="32">
        <f>+B16+D16+F16-C16-E16</f>
        <v>297165792.26666665</v>
      </c>
      <c r="H16" s="53">
        <f t="shared" si="0"/>
        <v>46513914.266666651</v>
      </c>
      <c r="I16" s="54">
        <f t="shared" si="1"/>
        <v>0.18557177643275688</v>
      </c>
      <c r="K16" s="54">
        <f t="shared" si="4"/>
        <v>0.2065142102277899</v>
      </c>
      <c r="L16" s="54">
        <f t="shared" si="2"/>
        <v>0.20895229746865707</v>
      </c>
    </row>
    <row r="17" spans="1:12" x14ac:dyDescent="0.25">
      <c r="A17" s="29" t="s">
        <v>71</v>
      </c>
      <c r="B17" s="47">
        <f>+B18</f>
        <v>803287464</v>
      </c>
      <c r="C17" s="32"/>
      <c r="D17" s="32"/>
      <c r="E17" s="32"/>
      <c r="F17" s="32"/>
      <c r="G17" s="30">
        <f>+G18+G27</f>
        <v>1003510235.2903969</v>
      </c>
      <c r="H17" s="53">
        <f t="shared" si="0"/>
        <v>200222771.29039693</v>
      </c>
      <c r="I17" s="54">
        <f t="shared" si="1"/>
        <v>0.24925419636624246</v>
      </c>
      <c r="K17" s="54">
        <f>+B17/($B$17+$B$29)</f>
        <v>0.66183536120899999</v>
      </c>
      <c r="L17" s="54">
        <f>+G17/$G$41</f>
        <v>0.70561879817269157</v>
      </c>
    </row>
    <row r="18" spans="1:12" x14ac:dyDescent="0.25">
      <c r="A18" s="29" t="s">
        <v>58</v>
      </c>
      <c r="B18" s="47">
        <f>SUM(B19:B26)</f>
        <v>803287464</v>
      </c>
      <c r="C18" s="32"/>
      <c r="D18" s="32"/>
      <c r="E18" s="32"/>
      <c r="F18" s="32"/>
      <c r="G18" s="30">
        <f>SUM(G19:G26)</f>
        <v>803287464</v>
      </c>
      <c r="H18" s="53">
        <f t="shared" si="0"/>
        <v>0</v>
      </c>
      <c r="I18" s="54">
        <f t="shared" si="1"/>
        <v>0</v>
      </c>
      <c r="K18" s="54">
        <f t="shared" ref="K18:K35" si="5">+B18/($B$17+$B$29)</f>
        <v>0.66183536120899999</v>
      </c>
      <c r="L18" s="54">
        <f t="shared" ref="L18:L35" si="6">+G18/$G$41</f>
        <v>0.56483204156940536</v>
      </c>
    </row>
    <row r="19" spans="1:12" x14ac:dyDescent="0.25">
      <c r="A19" s="48" t="s">
        <v>72</v>
      </c>
      <c r="B19" s="35">
        <v>487034739</v>
      </c>
      <c r="C19" s="32"/>
      <c r="D19" s="32"/>
      <c r="E19" s="32"/>
      <c r="G19" s="32">
        <f>+B19+D19+F19-C19-E19</f>
        <v>487034739</v>
      </c>
      <c r="H19" s="53">
        <f t="shared" si="0"/>
        <v>0</v>
      </c>
      <c r="I19" s="54">
        <f t="shared" si="1"/>
        <v>0</v>
      </c>
      <c r="K19" s="54">
        <f t="shared" si="5"/>
        <v>0.40127205621049755</v>
      </c>
      <c r="L19" s="54">
        <f t="shared" si="6"/>
        <v>0.3424587563893472</v>
      </c>
    </row>
    <row r="20" spans="1:12" x14ac:dyDescent="0.25">
      <c r="A20" s="48" t="s">
        <v>73</v>
      </c>
      <c r="B20" s="35">
        <v>5624501</v>
      </c>
      <c r="C20" s="32"/>
      <c r="D20" s="32"/>
      <c r="E20" s="32"/>
      <c r="F20" s="32"/>
      <c r="G20" s="32">
        <f t="shared" ref="G20:G28" si="7">+B20+D20+F20-C20-E20</f>
        <v>5624501</v>
      </c>
      <c r="H20" s="53">
        <f t="shared" si="0"/>
        <v>0</v>
      </c>
      <c r="I20" s="54">
        <f t="shared" si="1"/>
        <v>0</v>
      </c>
      <c r="K20" s="54">
        <f t="shared" si="5"/>
        <v>4.6340741238747648E-3</v>
      </c>
      <c r="L20" s="54">
        <f t="shared" si="6"/>
        <v>3.9548711078094979E-3</v>
      </c>
    </row>
    <row r="21" spans="1:12" x14ac:dyDescent="0.25">
      <c r="A21" s="48" t="s">
        <v>74</v>
      </c>
      <c r="B21" s="35">
        <v>106782110</v>
      </c>
      <c r="C21" s="32"/>
      <c r="D21" s="32"/>
      <c r="E21" s="32"/>
      <c r="F21" s="32"/>
      <c r="G21" s="32">
        <f t="shared" si="7"/>
        <v>106782110</v>
      </c>
      <c r="H21" s="53">
        <f t="shared" si="0"/>
        <v>0</v>
      </c>
      <c r="I21" s="54">
        <f t="shared" si="1"/>
        <v>0</v>
      </c>
      <c r="K21" s="54">
        <f t="shared" si="5"/>
        <v>8.7978686970408365E-2</v>
      </c>
      <c r="L21" s="54">
        <f t="shared" si="6"/>
        <v>7.5083901962135963E-2</v>
      </c>
    </row>
    <row r="22" spans="1:12" x14ac:dyDescent="0.25">
      <c r="A22" s="48" t="s">
        <v>75</v>
      </c>
      <c r="B22" s="35">
        <v>13137000</v>
      </c>
      <c r="C22" s="32"/>
      <c r="D22" s="32"/>
      <c r="E22" s="32"/>
      <c r="F22" s="32"/>
      <c r="G22" s="32">
        <f t="shared" si="7"/>
        <v>13137000</v>
      </c>
      <c r="H22" s="53">
        <f t="shared" si="0"/>
        <v>0</v>
      </c>
      <c r="I22" s="54">
        <f t="shared" si="1"/>
        <v>0</v>
      </c>
      <c r="K22" s="54">
        <f t="shared" si="5"/>
        <v>1.0823685828368203E-2</v>
      </c>
      <c r="L22" s="54">
        <f t="shared" si="6"/>
        <v>9.237289093431288E-3</v>
      </c>
    </row>
    <row r="23" spans="1:12" x14ac:dyDescent="0.25">
      <c r="A23" s="48" t="s">
        <v>76</v>
      </c>
      <c r="B23" s="35">
        <v>38535101</v>
      </c>
      <c r="C23" s="32"/>
      <c r="D23" s="32"/>
      <c r="E23" s="32"/>
      <c r="F23" s="32"/>
      <c r="G23" s="32">
        <f t="shared" si="7"/>
        <v>38535101</v>
      </c>
      <c r="H23" s="53">
        <f t="shared" si="0"/>
        <v>0</v>
      </c>
      <c r="I23" s="54">
        <f t="shared" si="1"/>
        <v>0</v>
      </c>
      <c r="K23" s="54">
        <f t="shared" si="5"/>
        <v>3.1749396862939587E-2</v>
      </c>
      <c r="L23" s="54">
        <f t="shared" si="6"/>
        <v>2.7095978395491601E-2</v>
      </c>
    </row>
    <row r="24" spans="1:12" x14ac:dyDescent="0.25">
      <c r="A24" s="48" t="s">
        <v>77</v>
      </c>
      <c r="B24" s="35">
        <v>17200892</v>
      </c>
      <c r="C24" s="32"/>
      <c r="D24" s="32"/>
      <c r="E24" s="32"/>
      <c r="F24" s="32"/>
      <c r="G24" s="32">
        <f t="shared" si="7"/>
        <v>17200892</v>
      </c>
      <c r="H24" s="53">
        <f t="shared" si="0"/>
        <v>0</v>
      </c>
      <c r="I24" s="54">
        <f t="shared" si="1"/>
        <v>0</v>
      </c>
      <c r="K24" s="54">
        <f t="shared" si="5"/>
        <v>1.4171960948138235E-2</v>
      </c>
      <c r="L24" s="54">
        <f t="shared" si="6"/>
        <v>1.2094817086769393E-2</v>
      </c>
    </row>
    <row r="25" spans="1:12" x14ac:dyDescent="0.25">
      <c r="A25" s="48" t="s">
        <v>78</v>
      </c>
      <c r="B25" s="35">
        <v>33830836</v>
      </c>
      <c r="C25" s="32"/>
      <c r="D25" s="32"/>
      <c r="E25" s="32"/>
      <c r="F25" s="32"/>
      <c r="G25" s="32">
        <f t="shared" si="7"/>
        <v>33830836</v>
      </c>
      <c r="H25" s="53">
        <f t="shared" si="0"/>
        <v>0</v>
      </c>
      <c r="I25" s="54">
        <f t="shared" si="1"/>
        <v>0</v>
      </c>
      <c r="K25" s="54">
        <f t="shared" si="5"/>
        <v>2.7873512991934905E-2</v>
      </c>
      <c r="L25" s="54">
        <f t="shared" si="6"/>
        <v>2.3788171759493233E-2</v>
      </c>
    </row>
    <row r="26" spans="1:12" x14ac:dyDescent="0.25">
      <c r="A26" s="48" t="s">
        <v>79</v>
      </c>
      <c r="B26" s="35">
        <v>101142285</v>
      </c>
      <c r="C26" s="32"/>
      <c r="D26" s="32"/>
      <c r="E26" s="32"/>
      <c r="F26" s="32"/>
      <c r="G26" s="32">
        <f t="shared" si="7"/>
        <v>101142285</v>
      </c>
      <c r="H26" s="53">
        <f t="shared" si="0"/>
        <v>0</v>
      </c>
      <c r="I26" s="54">
        <f t="shared" si="1"/>
        <v>0</v>
      </c>
      <c r="K26" s="54">
        <f t="shared" si="5"/>
        <v>8.3331987272838387E-2</v>
      </c>
      <c r="L26" s="54">
        <f t="shared" si="6"/>
        <v>7.1118255774927225E-2</v>
      </c>
    </row>
    <row r="27" spans="1:12" s="23" customFormat="1" x14ac:dyDescent="0.25">
      <c r="A27" s="29" t="s">
        <v>166</v>
      </c>
      <c r="B27" s="47">
        <v>0</v>
      </c>
      <c r="C27" s="30"/>
      <c r="D27" s="30"/>
      <c r="E27" s="30"/>
      <c r="F27" s="30"/>
      <c r="G27" s="30">
        <f>+G28</f>
        <v>200222771.29039699</v>
      </c>
      <c r="H27" s="53">
        <f t="shared" si="0"/>
        <v>200222771.29039699</v>
      </c>
      <c r="I27" s="54"/>
      <c r="K27" s="54">
        <f t="shared" si="5"/>
        <v>0</v>
      </c>
      <c r="L27" s="54">
        <f t="shared" si="6"/>
        <v>0.14078675660328624</v>
      </c>
    </row>
    <row r="28" spans="1:12" x14ac:dyDescent="0.25">
      <c r="A28" s="48" t="s">
        <v>72</v>
      </c>
      <c r="B28" s="35">
        <v>0</v>
      </c>
      <c r="C28" s="32"/>
      <c r="D28" s="32"/>
      <c r="E28" s="32"/>
      <c r="F28" s="32">
        <f>+'Ajustes convergencia'!H6</f>
        <v>200222771.29039699</v>
      </c>
      <c r="G28" s="32">
        <f t="shared" si="7"/>
        <v>200222771.29039699</v>
      </c>
      <c r="H28" s="53">
        <f t="shared" si="0"/>
        <v>200222771.29039699</v>
      </c>
      <c r="I28" s="54"/>
      <c r="K28" s="54">
        <f t="shared" si="5"/>
        <v>0</v>
      </c>
      <c r="L28" s="54">
        <f t="shared" si="6"/>
        <v>0.14078675660328624</v>
      </c>
    </row>
    <row r="29" spans="1:12" x14ac:dyDescent="0.25">
      <c r="A29" s="29" t="s">
        <v>80</v>
      </c>
      <c r="B29" s="47">
        <f>SUM(B30:B34)</f>
        <v>410439561</v>
      </c>
      <c r="C29" s="32"/>
      <c r="D29" s="32"/>
      <c r="E29" s="32"/>
      <c r="F29" s="32"/>
      <c r="G29" s="30">
        <f>SUM(G30:G37)</f>
        <v>418660259.44293636</v>
      </c>
      <c r="H29" s="53">
        <f t="shared" si="0"/>
        <v>8220698.4429363608</v>
      </c>
      <c r="I29" s="54">
        <f>+H29/B29</f>
        <v>2.0029010904571064E-2</v>
      </c>
      <c r="K29" s="54">
        <f t="shared" si="5"/>
        <v>0.33816463879100001</v>
      </c>
      <c r="L29" s="54">
        <f t="shared" si="6"/>
        <v>0.29438120182730837</v>
      </c>
    </row>
    <row r="30" spans="1:12" x14ac:dyDescent="0.25">
      <c r="A30" s="31" t="s">
        <v>81</v>
      </c>
      <c r="B30" s="35">
        <v>180000000</v>
      </c>
      <c r="C30" s="32"/>
      <c r="D30" s="32"/>
      <c r="E30" s="32"/>
      <c r="F30" s="32"/>
      <c r="G30" s="32">
        <f>+B30+D30+F30-C30-E30</f>
        <v>180000000</v>
      </c>
      <c r="H30" s="53">
        <f t="shared" si="0"/>
        <v>0</v>
      </c>
      <c r="I30" s="54">
        <f t="shared" si="1"/>
        <v>0</v>
      </c>
      <c r="K30" s="54">
        <f t="shared" si="5"/>
        <v>0.148303528134755</v>
      </c>
      <c r="L30" s="54">
        <f t="shared" si="6"/>
        <v>0.12656710335827295</v>
      </c>
    </row>
    <row r="31" spans="1:12" x14ac:dyDescent="0.25">
      <c r="A31" s="31" t="s">
        <v>82</v>
      </c>
      <c r="B31" s="35">
        <v>12201417</v>
      </c>
      <c r="C31" s="32"/>
      <c r="D31" s="32"/>
      <c r="E31" s="32"/>
      <c r="F31" s="32"/>
      <c r="G31" s="32">
        <f>+B31+D31+F31-C31-E31</f>
        <v>12201417</v>
      </c>
      <c r="H31" s="53">
        <f t="shared" si="0"/>
        <v>0</v>
      </c>
      <c r="I31" s="54">
        <f t="shared" si="1"/>
        <v>0</v>
      </c>
      <c r="K31" s="54">
        <f t="shared" si="5"/>
        <v>1.0052851051907657E-2</v>
      </c>
      <c r="L31" s="54">
        <f t="shared" si="6"/>
        <v>8.5794333697577167E-3</v>
      </c>
    </row>
    <row r="32" spans="1:12" x14ac:dyDescent="0.25">
      <c r="A32" s="31" t="s">
        <v>83</v>
      </c>
      <c r="B32" s="35">
        <v>89641286</v>
      </c>
      <c r="C32" s="32"/>
      <c r="D32" s="32"/>
      <c r="E32" s="32"/>
      <c r="F32" s="32"/>
      <c r="G32" s="32">
        <f>+B32+D32+F32-C32-E32</f>
        <v>89641286</v>
      </c>
      <c r="H32" s="53">
        <f t="shared" si="0"/>
        <v>0</v>
      </c>
      <c r="I32" s="54">
        <f t="shared" si="1"/>
        <v>0</v>
      </c>
      <c r="K32" s="54">
        <f t="shared" si="5"/>
        <v>7.3856216557425663E-2</v>
      </c>
      <c r="L32" s="54">
        <f t="shared" si="6"/>
        <v>6.303132172405837E-2</v>
      </c>
    </row>
    <row r="33" spans="1:13" x14ac:dyDescent="0.25">
      <c r="A33" s="31" t="s">
        <v>84</v>
      </c>
      <c r="B33" s="35">
        <v>40466770</v>
      </c>
      <c r="C33" s="32"/>
      <c r="D33" s="32"/>
      <c r="E33" s="32"/>
      <c r="F33" s="32"/>
      <c r="G33" s="32">
        <f>+B33+D33+F33-C33-E33</f>
        <v>40466770</v>
      </c>
      <c r="H33" s="53">
        <f t="shared" si="0"/>
        <v>0</v>
      </c>
      <c r="I33" s="54">
        <f t="shared" si="1"/>
        <v>0</v>
      </c>
      <c r="K33" s="54">
        <f t="shared" si="5"/>
        <v>3.334091535120922E-2</v>
      </c>
      <c r="L33" s="54">
        <f t="shared" si="6"/>
        <v>2.8454232562030331E-2</v>
      </c>
    </row>
    <row r="34" spans="1:13" x14ac:dyDescent="0.25">
      <c r="A34" s="31" t="s">
        <v>85</v>
      </c>
      <c r="B34" s="35">
        <v>88130088</v>
      </c>
      <c r="C34" s="32"/>
      <c r="D34" s="32"/>
      <c r="E34" s="32"/>
      <c r="F34" s="32"/>
      <c r="G34" s="32">
        <f>+B34+D34+F34-C34-E34</f>
        <v>88130088</v>
      </c>
      <c r="H34" s="53">
        <f t="shared" si="0"/>
        <v>0</v>
      </c>
      <c r="I34" s="54">
        <f>+H34/B34</f>
        <v>0</v>
      </c>
      <c r="K34" s="54">
        <f t="shared" si="5"/>
        <v>7.2611127695702424E-2</v>
      </c>
      <c r="L34" s="54">
        <f t="shared" si="6"/>
        <v>6.1968721982609401E-2</v>
      </c>
    </row>
    <row r="35" spans="1:13" x14ac:dyDescent="0.25">
      <c r="A35" s="31" t="s">
        <v>100</v>
      </c>
      <c r="B35" s="35">
        <v>0</v>
      </c>
      <c r="C35" s="32"/>
      <c r="D35" s="32"/>
      <c r="E35" s="32"/>
      <c r="F35" s="32"/>
      <c r="G35" s="32">
        <f>+SUM(D36:D37,F36:F37)-SUM(C36:C37,E36:E37)</f>
        <v>8220698.4429363608</v>
      </c>
      <c r="H35" s="53">
        <f t="shared" si="0"/>
        <v>8220698.4429363608</v>
      </c>
      <c r="I35" s="54"/>
      <c r="K35" s="54">
        <f t="shared" si="5"/>
        <v>0</v>
      </c>
      <c r="L35" s="54">
        <f t="shared" si="6"/>
        <v>5.7803888305795557E-3</v>
      </c>
    </row>
    <row r="36" spans="1:13" x14ac:dyDescent="0.25">
      <c r="A36" s="49" t="s">
        <v>113</v>
      </c>
      <c r="B36" s="35">
        <v>0</v>
      </c>
      <c r="C36" s="32">
        <f>+D13</f>
        <v>18896973</v>
      </c>
      <c r="D36" s="32"/>
      <c r="E36" s="32"/>
      <c r="F36" s="32"/>
      <c r="G36" s="32"/>
      <c r="H36" s="53">
        <f t="shared" si="0"/>
        <v>0</v>
      </c>
      <c r="I36" s="54"/>
      <c r="K36" s="105"/>
      <c r="L36" s="54"/>
    </row>
    <row r="37" spans="1:13" x14ac:dyDescent="0.25">
      <c r="A37" s="49" t="s">
        <v>114</v>
      </c>
      <c r="B37" s="31">
        <v>0</v>
      </c>
      <c r="C37" s="32"/>
      <c r="D37" s="32"/>
      <c r="E37" s="32"/>
      <c r="F37" s="32">
        <f>+'Ajustes convergencia'!C7+'Ajustes convergencia'!E7+'Ajustes convergencia'!G7</f>
        <v>27117671.442936361</v>
      </c>
      <c r="G37" s="32"/>
      <c r="H37" s="53">
        <f t="shared" si="0"/>
        <v>0</v>
      </c>
      <c r="I37" s="54"/>
      <c r="K37" s="105"/>
      <c r="L37" s="54"/>
    </row>
    <row r="38" spans="1:13" s="23" customFormat="1" x14ac:dyDescent="0.25">
      <c r="A38" s="137" t="s">
        <v>104</v>
      </c>
      <c r="B38" s="139"/>
      <c r="C38" s="30">
        <f>SUM(C4:C37)</f>
        <v>18896973</v>
      </c>
      <c r="D38" s="30">
        <f>SUM(D4:D37)</f>
        <v>18896973</v>
      </c>
      <c r="E38" s="30">
        <f>SUM(E4:E37)</f>
        <v>273854357</v>
      </c>
      <c r="F38" s="30">
        <f>SUM(F4:F37)</f>
        <v>273854357</v>
      </c>
      <c r="G38" s="30"/>
      <c r="H38" s="53"/>
      <c r="I38" s="54"/>
      <c r="J38"/>
      <c r="K38" s="29"/>
      <c r="L38" s="29"/>
    </row>
    <row r="39" spans="1:13" x14ac:dyDescent="0.25">
      <c r="I39" s="7"/>
    </row>
    <row r="40" spans="1:13" x14ac:dyDescent="0.25">
      <c r="A40" s="137" t="s">
        <v>110</v>
      </c>
      <c r="B40" s="138"/>
      <c r="C40" s="138"/>
      <c r="D40" s="138"/>
      <c r="E40" s="138"/>
      <c r="F40" s="139"/>
      <c r="G40" s="30">
        <f>+G4</f>
        <v>1422170494.7333333</v>
      </c>
      <c r="I40" s="7"/>
      <c r="K40" s="98" t="s">
        <v>155</v>
      </c>
      <c r="L40" s="99" t="s">
        <v>159</v>
      </c>
      <c r="M40" s="99" t="s">
        <v>154</v>
      </c>
    </row>
    <row r="41" spans="1:13" x14ac:dyDescent="0.25">
      <c r="A41" s="137" t="s">
        <v>86</v>
      </c>
      <c r="B41" s="138"/>
      <c r="C41" s="138"/>
      <c r="D41" s="138"/>
      <c r="E41" s="138"/>
      <c r="F41" s="139"/>
      <c r="G41" s="30">
        <f>+G17+G29</f>
        <v>1422170494.7333333</v>
      </c>
      <c r="I41" s="7"/>
      <c r="K41" s="100" t="s">
        <v>156</v>
      </c>
      <c r="L41" s="101">
        <f>+K5</f>
        <v>0.63975916248548559</v>
      </c>
      <c r="M41" s="101">
        <f>+L5</f>
        <v>0.53270407085899674</v>
      </c>
    </row>
    <row r="42" spans="1:13" x14ac:dyDescent="0.25">
      <c r="A42" s="137" t="s">
        <v>87</v>
      </c>
      <c r="B42" s="138"/>
      <c r="C42" s="138"/>
      <c r="D42" s="138"/>
      <c r="E42" s="138"/>
      <c r="F42" s="139"/>
      <c r="G42" s="32">
        <f>+G40-G41</f>
        <v>0</v>
      </c>
      <c r="I42" s="7"/>
      <c r="K42" s="100" t="s">
        <v>157</v>
      </c>
      <c r="L42" s="101">
        <f>+K14</f>
        <v>0.36024083751451441</v>
      </c>
      <c r="M42" s="101">
        <f>+L14</f>
        <v>0.46729592914100332</v>
      </c>
    </row>
    <row r="43" spans="1:13" x14ac:dyDescent="0.25">
      <c r="K43" s="100" t="s">
        <v>158</v>
      </c>
      <c r="L43" s="101">
        <f>SUM(L41:L42)</f>
        <v>1</v>
      </c>
      <c r="M43" s="101">
        <f>SUM(M41:M42)</f>
        <v>1</v>
      </c>
    </row>
    <row r="44" spans="1:13" x14ac:dyDescent="0.25">
      <c r="K44" s="102"/>
      <c r="L44" s="102"/>
      <c r="M44" s="102"/>
    </row>
    <row r="45" spans="1:13" x14ac:dyDescent="0.25">
      <c r="K45" s="98" t="s">
        <v>167</v>
      </c>
      <c r="L45" s="99" t="s">
        <v>159</v>
      </c>
      <c r="M45" s="99" t="s">
        <v>154</v>
      </c>
    </row>
    <row r="46" spans="1:13" x14ac:dyDescent="0.25">
      <c r="K46" s="100" t="s">
        <v>160</v>
      </c>
      <c r="L46" s="101">
        <f>+K18</f>
        <v>0.66183536120899999</v>
      </c>
      <c r="M46" s="101">
        <f>+L17</f>
        <v>0.70561879817269157</v>
      </c>
    </row>
    <row r="47" spans="1:13" x14ac:dyDescent="0.25">
      <c r="K47" s="100" t="s">
        <v>161</v>
      </c>
      <c r="L47" s="101">
        <f>+K29</f>
        <v>0.33816463879100001</v>
      </c>
      <c r="M47" s="101">
        <f>+L29</f>
        <v>0.29438120182730837</v>
      </c>
    </row>
    <row r="48" spans="1:13" x14ac:dyDescent="0.25">
      <c r="K48" s="100" t="s">
        <v>158</v>
      </c>
      <c r="L48" s="101">
        <f>SUM(L46:L47)</f>
        <v>1</v>
      </c>
      <c r="M48" s="101">
        <f>SUM(M46:M47)</f>
        <v>1</v>
      </c>
    </row>
    <row r="49" spans="11:13" x14ac:dyDescent="0.25">
      <c r="K49" s="102"/>
      <c r="L49" s="102"/>
      <c r="M49" s="102"/>
    </row>
    <row r="50" spans="11:13" x14ac:dyDescent="0.25">
      <c r="K50" s="98" t="s">
        <v>162</v>
      </c>
      <c r="L50" s="99" t="s">
        <v>159</v>
      </c>
      <c r="M50" s="99" t="s">
        <v>154</v>
      </c>
    </row>
    <row r="51" spans="11:13" x14ac:dyDescent="0.25">
      <c r="K51" s="100" t="s">
        <v>163</v>
      </c>
      <c r="L51" s="101">
        <f>+B18/B17</f>
        <v>1</v>
      </c>
      <c r="M51" s="101">
        <f>+G18/G17</f>
        <v>0.80047759928182871</v>
      </c>
    </row>
    <row r="52" spans="11:13" x14ac:dyDescent="0.25">
      <c r="K52" s="100" t="s">
        <v>164</v>
      </c>
      <c r="L52" s="101">
        <f>+B27/B17</f>
        <v>0</v>
      </c>
      <c r="M52" s="101">
        <f>+G27/G17</f>
        <v>0.19952240071817134</v>
      </c>
    </row>
    <row r="53" spans="11:13" x14ac:dyDescent="0.25">
      <c r="K53" s="100" t="s">
        <v>158</v>
      </c>
      <c r="L53" s="101">
        <f>SUM(L51:L52)</f>
        <v>1</v>
      </c>
      <c r="M53" s="101">
        <f>SUM(M51:M52)</f>
        <v>1</v>
      </c>
    </row>
    <row r="55" spans="11:13" x14ac:dyDescent="0.25">
      <c r="K55" s="94"/>
      <c r="L55" s="95"/>
      <c r="M55" s="95"/>
    </row>
    <row r="56" spans="11:13" x14ac:dyDescent="0.25">
      <c r="K56" s="96"/>
      <c r="L56" s="97"/>
      <c r="M56" s="97"/>
    </row>
    <row r="57" spans="11:13" x14ac:dyDescent="0.25">
      <c r="K57" s="96"/>
      <c r="L57" s="97"/>
      <c r="M57" s="97"/>
    </row>
    <row r="58" spans="11:13" x14ac:dyDescent="0.25">
      <c r="K58" s="96"/>
      <c r="L58" s="97"/>
      <c r="M58" s="97"/>
    </row>
  </sheetData>
  <mergeCells count="5">
    <mergeCell ref="H2:I2"/>
    <mergeCell ref="A40:F40"/>
    <mergeCell ref="A41:F41"/>
    <mergeCell ref="A42:F42"/>
    <mergeCell ref="A38:B38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O60"/>
  <sheetViews>
    <sheetView showGridLines="0" zoomScale="90" zoomScaleNormal="90" workbookViewId="0">
      <selection activeCell="H1" sqref="H1"/>
    </sheetView>
  </sheetViews>
  <sheetFormatPr baseColWidth="10" defaultColWidth="0" defaultRowHeight="15.75" customHeight="1" zeroHeight="1" x14ac:dyDescent="0.2"/>
  <cols>
    <col min="1" max="1" width="4.5703125" style="57" customWidth="1"/>
    <col min="2" max="2" width="29.5703125" style="57" customWidth="1"/>
    <col min="3" max="3" width="8.42578125" style="57" customWidth="1"/>
    <col min="4" max="4" width="33.85546875" style="57" customWidth="1"/>
    <col min="5" max="5" width="34.5703125" style="57" customWidth="1"/>
    <col min="6" max="6" width="12" style="57" customWidth="1"/>
    <col min="7" max="7" width="16.42578125" style="57" bestFit="1" customWidth="1"/>
    <col min="8" max="8" width="16.42578125" style="57" customWidth="1"/>
    <col min="9" max="9" width="41.7109375" style="57" bestFit="1" customWidth="1"/>
    <col min="10" max="11" width="17.28515625" style="57" customWidth="1"/>
    <col min="12" max="15" width="0" style="57" hidden="1" customWidth="1"/>
    <col min="16" max="16384" width="17.28515625" style="57" hidden="1"/>
  </cols>
  <sheetData>
    <row r="1" spans="1:9" ht="15" customHeight="1" x14ac:dyDescent="0.25">
      <c r="A1" s="56"/>
      <c r="B1" s="56"/>
      <c r="C1" s="56"/>
      <c r="D1" s="56"/>
      <c r="E1" s="56"/>
      <c r="F1" s="56"/>
      <c r="I1" s="56"/>
    </row>
    <row r="2" spans="1:9" ht="30" customHeight="1" x14ac:dyDescent="0.25">
      <c r="A2" s="56"/>
      <c r="B2" s="106" t="s">
        <v>120</v>
      </c>
      <c r="C2" s="107" t="s">
        <v>121</v>
      </c>
      <c r="D2" s="106" t="s">
        <v>122</v>
      </c>
      <c r="E2" s="106" t="s">
        <v>123</v>
      </c>
      <c r="F2" s="108" t="s">
        <v>124</v>
      </c>
      <c r="G2" s="106" t="s">
        <v>153</v>
      </c>
      <c r="H2" s="106" t="s">
        <v>154</v>
      </c>
      <c r="I2" s="106" t="s">
        <v>125</v>
      </c>
    </row>
    <row r="3" spans="1:9" ht="15" customHeight="1" x14ac:dyDescent="0.25">
      <c r="A3" s="56"/>
      <c r="B3" s="109" t="s">
        <v>126</v>
      </c>
      <c r="C3" s="110"/>
      <c r="D3" s="110"/>
      <c r="E3" s="110"/>
      <c r="F3" s="110"/>
      <c r="G3" s="111"/>
      <c r="H3" s="111"/>
      <c r="I3" s="112"/>
    </row>
    <row r="4" spans="1:9" ht="60" customHeight="1" x14ac:dyDescent="0.25">
      <c r="A4" s="56"/>
      <c r="B4" s="58" t="s">
        <v>127</v>
      </c>
      <c r="C4" s="59" t="s">
        <v>128</v>
      </c>
      <c r="D4" s="60"/>
      <c r="E4" s="61" t="s">
        <v>129</v>
      </c>
      <c r="F4" s="59"/>
      <c r="G4" s="62">
        <f>+'Hoja de trabajo de conversión'!B5/'Hoja de trabajo de conversión'!B18</f>
        <v>0.96664397217581877</v>
      </c>
      <c r="H4" s="62">
        <f>+'Hoja de trabajo de conversión'!G5/'Hoja de trabajo de conversión'!G18</f>
        <v>0.94311942604895427</v>
      </c>
      <c r="I4" s="60"/>
    </row>
    <row r="5" spans="1:9" ht="75" hidden="1" customHeight="1" x14ac:dyDescent="0.25">
      <c r="A5" s="56"/>
      <c r="B5" s="63"/>
      <c r="C5" s="64"/>
      <c r="D5" s="65"/>
      <c r="E5" s="61"/>
      <c r="F5" s="64"/>
      <c r="G5" s="66"/>
      <c r="H5" s="66"/>
      <c r="I5" s="65"/>
    </row>
    <row r="6" spans="1:9" ht="36.75" customHeight="1" x14ac:dyDescent="0.25">
      <c r="A6" s="56"/>
      <c r="B6" s="67" t="s">
        <v>130</v>
      </c>
      <c r="C6" s="64" t="s">
        <v>131</v>
      </c>
      <c r="D6" s="65"/>
      <c r="E6" s="61" t="s">
        <v>132</v>
      </c>
      <c r="F6" s="65"/>
      <c r="G6" s="68">
        <f>+'Hoja de trabajo de conversión'!B5/'Hoja de trabajo de conversión'!B4</f>
        <v>0.63975916248548559</v>
      </c>
      <c r="H6" s="68">
        <f>+'Hoja de trabajo de conversión'!G5/'Hoja de trabajo de conversión'!G4</f>
        <v>0.53270407085899674</v>
      </c>
      <c r="I6" s="65"/>
    </row>
    <row r="7" spans="1:9" ht="45" hidden="1" customHeight="1" x14ac:dyDescent="0.25">
      <c r="A7" s="56"/>
      <c r="B7" s="67"/>
      <c r="C7" s="64"/>
      <c r="D7" s="65"/>
      <c r="E7" s="61"/>
      <c r="F7" s="65"/>
      <c r="G7" s="69"/>
      <c r="H7" s="69"/>
      <c r="I7" s="65"/>
    </row>
    <row r="8" spans="1:9" ht="45" hidden="1" customHeight="1" x14ac:dyDescent="0.25">
      <c r="A8" s="56"/>
      <c r="B8" s="67"/>
      <c r="C8" s="64"/>
      <c r="D8" s="65"/>
      <c r="E8" s="61"/>
      <c r="F8" s="65"/>
      <c r="G8" s="69"/>
      <c r="H8" s="69"/>
      <c r="I8" s="65"/>
    </row>
    <row r="9" spans="1:9" ht="45" hidden="1" customHeight="1" x14ac:dyDescent="0.25">
      <c r="A9" s="56"/>
      <c r="B9" s="63"/>
      <c r="C9" s="64"/>
      <c r="D9" s="65"/>
      <c r="E9" s="61"/>
      <c r="F9" s="65"/>
      <c r="G9" s="66"/>
      <c r="H9" s="66"/>
      <c r="I9" s="65"/>
    </row>
    <row r="10" spans="1:9" ht="45" hidden="1" customHeight="1" x14ac:dyDescent="0.25">
      <c r="A10" s="56"/>
      <c r="B10" s="63"/>
      <c r="C10" s="64"/>
      <c r="D10" s="65"/>
      <c r="E10" s="61"/>
      <c r="F10" s="65"/>
      <c r="G10" s="68"/>
      <c r="H10" s="68"/>
      <c r="I10" s="65"/>
    </row>
    <row r="11" spans="1:9" ht="60" hidden="1" customHeight="1" x14ac:dyDescent="0.25">
      <c r="A11" s="56"/>
      <c r="B11" s="58"/>
      <c r="C11" s="59"/>
      <c r="D11" s="60"/>
      <c r="E11" s="61"/>
      <c r="F11" s="60"/>
      <c r="G11" s="66"/>
      <c r="H11" s="66"/>
      <c r="I11" s="71"/>
    </row>
    <row r="12" spans="1:9" ht="39.75" hidden="1" customHeight="1" x14ac:dyDescent="0.25">
      <c r="A12" s="56"/>
      <c r="B12" s="63"/>
      <c r="C12" s="64"/>
      <c r="D12" s="65"/>
      <c r="E12" s="61"/>
      <c r="F12" s="65"/>
      <c r="G12" s="72"/>
      <c r="H12" s="72"/>
      <c r="I12" s="65"/>
    </row>
    <row r="13" spans="1:9" ht="60" hidden="1" customHeight="1" x14ac:dyDescent="0.25">
      <c r="A13" s="56"/>
      <c r="B13" s="63"/>
      <c r="C13" s="64"/>
      <c r="D13" s="65"/>
      <c r="E13" s="61"/>
      <c r="F13" s="65"/>
      <c r="G13" s="66"/>
      <c r="H13" s="66"/>
      <c r="I13" s="71"/>
    </row>
    <row r="14" spans="1:9" ht="37.5" hidden="1" customHeight="1" x14ac:dyDescent="0.25">
      <c r="A14" s="56"/>
      <c r="B14" s="63"/>
      <c r="C14" s="64"/>
      <c r="D14" s="65"/>
      <c r="E14" s="61"/>
      <c r="F14" s="65"/>
      <c r="G14" s="72"/>
      <c r="H14" s="72"/>
      <c r="I14" s="65"/>
    </row>
    <row r="15" spans="1:9" ht="45" hidden="1" customHeight="1" x14ac:dyDescent="0.25">
      <c r="A15" s="56"/>
      <c r="B15" s="63"/>
      <c r="C15" s="64"/>
      <c r="D15" s="65"/>
      <c r="E15" s="61"/>
      <c r="F15" s="65"/>
      <c r="G15" s="66"/>
      <c r="H15" s="66"/>
      <c r="I15" s="71"/>
    </row>
    <row r="16" spans="1:9" ht="45" hidden="1" customHeight="1" x14ac:dyDescent="0.25">
      <c r="A16" s="56"/>
      <c r="B16" s="63"/>
      <c r="C16" s="64"/>
      <c r="D16" s="65"/>
      <c r="E16" s="61"/>
      <c r="F16" s="65"/>
      <c r="G16" s="72"/>
      <c r="H16" s="72"/>
      <c r="I16" s="65"/>
    </row>
    <row r="17" spans="1:9" ht="60" hidden="1" customHeight="1" x14ac:dyDescent="0.25">
      <c r="A17" s="56"/>
      <c r="B17" s="63"/>
      <c r="C17" s="64"/>
      <c r="D17" s="73"/>
      <c r="E17" s="61"/>
      <c r="F17" s="65"/>
      <c r="G17" s="72"/>
      <c r="H17" s="72"/>
      <c r="I17" s="65"/>
    </row>
    <row r="18" spans="1:9" ht="45" hidden="1" customHeight="1" x14ac:dyDescent="0.25">
      <c r="A18" s="56"/>
      <c r="B18" s="74"/>
      <c r="C18" s="75"/>
      <c r="D18" s="76"/>
      <c r="E18" s="61"/>
      <c r="F18" s="76"/>
      <c r="G18" s="72"/>
      <c r="H18" s="72"/>
      <c r="I18" s="65"/>
    </row>
    <row r="19" spans="1:9" ht="15" customHeight="1" x14ac:dyDescent="0.25">
      <c r="A19" s="56"/>
      <c r="B19" s="113" t="s">
        <v>133</v>
      </c>
      <c r="C19" s="114"/>
      <c r="D19" s="115"/>
      <c r="E19" s="115"/>
      <c r="F19" s="116"/>
      <c r="G19" s="117"/>
      <c r="H19" s="117"/>
      <c r="I19" s="117"/>
    </row>
    <row r="20" spans="1:9" ht="60" hidden="1" customHeight="1" x14ac:dyDescent="0.25">
      <c r="A20" s="56"/>
      <c r="B20" s="77"/>
      <c r="C20" s="64"/>
      <c r="D20" s="65"/>
      <c r="E20" s="61"/>
      <c r="F20" s="65"/>
      <c r="G20" s="68"/>
      <c r="H20" s="68"/>
      <c r="I20" s="65"/>
    </row>
    <row r="21" spans="1:9" ht="60" hidden="1" customHeight="1" x14ac:dyDescent="0.25">
      <c r="A21" s="56"/>
      <c r="B21" s="77"/>
      <c r="C21" s="64"/>
      <c r="D21" s="65"/>
      <c r="E21" s="61"/>
      <c r="F21" s="65"/>
      <c r="G21" s="78"/>
      <c r="H21" s="78"/>
      <c r="I21" s="65"/>
    </row>
    <row r="22" spans="1:9" ht="60" hidden="1" customHeight="1" x14ac:dyDescent="0.25">
      <c r="A22" s="56"/>
      <c r="B22" s="77"/>
      <c r="C22" s="64"/>
      <c r="D22" s="65"/>
      <c r="E22" s="61"/>
      <c r="F22" s="65"/>
      <c r="G22" s="78"/>
      <c r="H22" s="78"/>
      <c r="I22" s="65"/>
    </row>
    <row r="23" spans="1:9" ht="60" hidden="1" customHeight="1" x14ac:dyDescent="0.25">
      <c r="A23" s="56"/>
      <c r="B23" s="77"/>
      <c r="C23" s="64"/>
      <c r="D23" s="65"/>
      <c r="E23" s="61"/>
      <c r="F23" s="65"/>
      <c r="G23" s="65"/>
      <c r="H23" s="65"/>
      <c r="I23" s="71"/>
    </row>
    <row r="24" spans="1:9" ht="75" hidden="1" customHeight="1" x14ac:dyDescent="0.25">
      <c r="A24" s="56"/>
      <c r="B24" s="77"/>
      <c r="C24" s="64"/>
      <c r="D24" s="65"/>
      <c r="E24" s="61"/>
      <c r="F24" s="65"/>
      <c r="G24" s="68"/>
      <c r="H24" s="68"/>
      <c r="I24" s="65"/>
    </row>
    <row r="25" spans="1:9" ht="51" hidden="1" customHeight="1" x14ac:dyDescent="0.25">
      <c r="A25" s="56"/>
      <c r="B25" s="77"/>
      <c r="C25" s="64"/>
      <c r="D25" s="65"/>
      <c r="E25" s="61"/>
      <c r="F25" s="65"/>
      <c r="G25" s="68"/>
      <c r="H25" s="68"/>
      <c r="I25" s="65"/>
    </row>
    <row r="26" spans="1:9" ht="51" hidden="1" customHeight="1" x14ac:dyDescent="0.25">
      <c r="A26" s="56"/>
      <c r="B26" s="77"/>
      <c r="C26" s="79"/>
      <c r="D26" s="65"/>
      <c r="E26" s="61"/>
      <c r="F26" s="65"/>
      <c r="G26" s="78"/>
      <c r="H26" s="78"/>
      <c r="I26" s="65"/>
    </row>
    <row r="27" spans="1:9" ht="38.25" customHeight="1" x14ac:dyDescent="0.25">
      <c r="A27" s="56"/>
      <c r="B27" s="77" t="s">
        <v>134</v>
      </c>
      <c r="C27" s="79" t="s">
        <v>131</v>
      </c>
      <c r="D27" s="65"/>
      <c r="E27" s="61" t="s">
        <v>135</v>
      </c>
      <c r="F27" s="65"/>
      <c r="G27" s="78">
        <f>+'ER Inicial'!C28/'Hoja de trabajo de conversión'!B4</f>
        <v>6.4904024856824782E-2</v>
      </c>
      <c r="H27" s="78">
        <f>+'ER Inicial'!C28/'Hoja de trabajo de conversión'!G4</f>
        <v>5.5391227206391308E-2</v>
      </c>
      <c r="I27" s="65"/>
    </row>
    <row r="28" spans="1:9" ht="40.5" customHeight="1" x14ac:dyDescent="0.25">
      <c r="A28" s="56"/>
      <c r="B28" s="77" t="s">
        <v>136</v>
      </c>
      <c r="C28" s="79" t="s">
        <v>131</v>
      </c>
      <c r="D28" s="65"/>
      <c r="E28" s="61" t="s">
        <v>137</v>
      </c>
      <c r="F28" s="65"/>
      <c r="G28" s="78">
        <f>+'ER Inicial'!$C$32/'Hoja de trabajo de conversión'!B4</f>
        <v>3.334091452730073E-2</v>
      </c>
      <c r="H28" s="78">
        <f>+'ER Inicial'!C32/'Hoja de trabajo de conversión'!G4</f>
        <v>2.8454231858879759E-2</v>
      </c>
      <c r="I28" s="65"/>
    </row>
    <row r="29" spans="1:9" ht="38.25" customHeight="1" x14ac:dyDescent="0.25">
      <c r="A29" s="56"/>
      <c r="B29" s="77" t="s">
        <v>138</v>
      </c>
      <c r="C29" s="64" t="s">
        <v>131</v>
      </c>
      <c r="D29" s="65"/>
      <c r="E29" s="61" t="s">
        <v>139</v>
      </c>
      <c r="F29" s="65"/>
      <c r="G29" s="78">
        <f>+'ER Inicial'!C28/'Hoja de trabajo de conversión'!B29</f>
        <v>0.19193025352641385</v>
      </c>
      <c r="H29" s="78">
        <f>+'ER Inicial'!C28/'Hoja de trabajo de conversión'!G29</f>
        <v>0.1881615635188732</v>
      </c>
      <c r="I29" s="65"/>
    </row>
    <row r="30" spans="1:9" ht="44.25" customHeight="1" x14ac:dyDescent="0.25">
      <c r="A30" s="56"/>
      <c r="B30" s="77" t="s">
        <v>136</v>
      </c>
      <c r="C30" s="64" t="s">
        <v>131</v>
      </c>
      <c r="D30" s="65"/>
      <c r="E30" s="61" t="s">
        <v>140</v>
      </c>
      <c r="F30" s="65"/>
      <c r="G30" s="78">
        <f>+'ER Inicial'!C32/'Hoja de trabajo de conversión'!B29</f>
        <v>9.8593734242884062E-2</v>
      </c>
      <c r="H30" s="78">
        <f>+'ER Inicial'!C32/'Hoja de trabajo de conversión'!G29</f>
        <v>9.6657774620988707E-2</v>
      </c>
      <c r="I30" s="65"/>
    </row>
    <row r="31" spans="1:9" ht="45.75" customHeight="1" x14ac:dyDescent="0.25">
      <c r="A31" s="56"/>
      <c r="B31" s="77" t="s">
        <v>141</v>
      </c>
      <c r="C31" s="64" t="s">
        <v>131</v>
      </c>
      <c r="D31" s="65"/>
      <c r="E31" s="61" t="s">
        <v>142</v>
      </c>
      <c r="F31" s="65"/>
      <c r="G31" s="68">
        <f>+('ER Inicial'!C32/'ER Inicial'!C6)*('ER Inicial'!C6/'Hoja de trabajo de conversión'!B4)*('Hoja de trabajo de conversión'!B4/'Hoja de trabajo de conversión'!B29)</f>
        <v>9.8593734242884049E-2</v>
      </c>
      <c r="H31" s="68">
        <f>+('ER Inicial'!C32/'ER Inicial'!C6)*('ER Inicial'!C6/'Hoja de trabajo de conversión'!G4)*('Hoja de trabajo de conversión'!G4/'Hoja de trabajo de conversión'!G29)</f>
        <v>9.6657774620988707E-2</v>
      </c>
      <c r="I31" s="65"/>
    </row>
    <row r="32" spans="1:9" ht="36.75" hidden="1" customHeight="1" x14ac:dyDescent="0.25">
      <c r="A32" s="56"/>
      <c r="B32" s="77"/>
      <c r="C32" s="64"/>
      <c r="D32" s="65"/>
      <c r="E32" s="61"/>
      <c r="F32" s="65"/>
      <c r="G32" s="68"/>
      <c r="H32" s="68"/>
      <c r="I32" s="65"/>
    </row>
    <row r="33" spans="1:9" ht="44.25" hidden="1" customHeight="1" x14ac:dyDescent="0.25">
      <c r="A33" s="56"/>
      <c r="B33" s="77"/>
      <c r="C33" s="64"/>
      <c r="D33" s="65"/>
      <c r="E33" s="61"/>
      <c r="F33" s="65"/>
      <c r="G33" s="80"/>
      <c r="H33" s="80"/>
      <c r="I33" s="65"/>
    </row>
    <row r="34" spans="1:9" ht="65.25" hidden="1" customHeight="1" x14ac:dyDescent="0.25">
      <c r="A34" s="56"/>
      <c r="B34" s="77"/>
      <c r="C34" s="64"/>
      <c r="D34" s="65"/>
      <c r="E34" s="61"/>
      <c r="F34" s="65"/>
      <c r="G34" s="80"/>
      <c r="H34" s="80"/>
      <c r="I34" s="65"/>
    </row>
    <row r="35" spans="1:9" ht="45" hidden="1" customHeight="1" x14ac:dyDescent="0.25">
      <c r="A35" s="56"/>
      <c r="B35" s="77"/>
      <c r="C35" s="64"/>
      <c r="D35" s="65"/>
      <c r="E35" s="61"/>
      <c r="F35" s="65"/>
      <c r="G35" s="80"/>
      <c r="H35" s="80"/>
      <c r="I35" s="65"/>
    </row>
    <row r="36" spans="1:9" ht="45" hidden="1" customHeight="1" x14ac:dyDescent="0.25">
      <c r="A36" s="56"/>
      <c r="B36" s="77"/>
      <c r="C36" s="64"/>
      <c r="D36" s="65"/>
      <c r="E36" s="61"/>
      <c r="F36" s="65"/>
      <c r="G36" s="81"/>
      <c r="H36" s="81"/>
      <c r="I36" s="65"/>
    </row>
    <row r="37" spans="1:9" ht="45.75" hidden="1" customHeight="1" x14ac:dyDescent="0.25">
      <c r="A37" s="56"/>
      <c r="B37" s="77"/>
      <c r="C37" s="64"/>
      <c r="D37" s="65"/>
      <c r="E37" s="61"/>
      <c r="F37" s="65"/>
      <c r="G37" s="81"/>
      <c r="H37" s="81"/>
      <c r="I37" s="65"/>
    </row>
    <row r="38" spans="1:9" ht="45.75" hidden="1" customHeight="1" x14ac:dyDescent="0.25">
      <c r="A38" s="56"/>
      <c r="B38" s="77"/>
      <c r="C38" s="64"/>
      <c r="D38" s="65"/>
      <c r="E38" s="61"/>
      <c r="F38" s="65"/>
      <c r="G38" s="82"/>
      <c r="H38" s="82"/>
      <c r="I38" s="65"/>
    </row>
    <row r="39" spans="1:9" ht="46.5" hidden="1" customHeight="1" x14ac:dyDescent="0.25">
      <c r="A39" s="56"/>
      <c r="B39" s="77"/>
      <c r="C39" s="64"/>
      <c r="D39" s="65"/>
      <c r="E39" s="61"/>
      <c r="F39" s="65"/>
      <c r="G39" s="83"/>
      <c r="H39" s="83"/>
      <c r="I39" s="83"/>
    </row>
    <row r="40" spans="1:9" ht="52.5" hidden="1" customHeight="1" x14ac:dyDescent="0.25">
      <c r="A40" s="56"/>
      <c r="B40" s="77"/>
      <c r="C40" s="64"/>
      <c r="D40" s="65"/>
      <c r="E40" s="61"/>
      <c r="F40" s="65"/>
      <c r="G40" s="66"/>
      <c r="H40" s="66"/>
      <c r="I40" s="65"/>
    </row>
    <row r="41" spans="1:9" ht="75" hidden="1" customHeight="1" x14ac:dyDescent="0.25">
      <c r="A41" s="56"/>
      <c r="B41" s="84"/>
      <c r="C41" s="75"/>
      <c r="D41" s="76"/>
      <c r="E41" s="61"/>
      <c r="F41" s="76"/>
      <c r="G41" s="65"/>
      <c r="H41" s="65"/>
      <c r="I41" s="65"/>
    </row>
    <row r="42" spans="1:9" ht="75" hidden="1" customHeight="1" x14ac:dyDescent="0.25">
      <c r="A42" s="56"/>
      <c r="B42" s="85"/>
      <c r="C42" s="86"/>
      <c r="D42" s="85"/>
      <c r="E42" s="61"/>
      <c r="F42" s="87"/>
      <c r="G42" s="88"/>
      <c r="H42" s="88"/>
      <c r="I42" s="65"/>
    </row>
    <row r="43" spans="1:9" ht="15" customHeight="1" x14ac:dyDescent="0.25">
      <c r="A43" s="56"/>
      <c r="B43" s="140" t="s">
        <v>144</v>
      </c>
      <c r="C43" s="141"/>
      <c r="D43" s="141"/>
      <c r="E43" s="141"/>
      <c r="F43" s="141"/>
      <c r="G43" s="117"/>
      <c r="H43" s="117"/>
      <c r="I43" s="117"/>
    </row>
    <row r="44" spans="1:9" ht="45" customHeight="1" x14ac:dyDescent="0.25">
      <c r="A44" s="56"/>
      <c r="B44" s="65" t="s">
        <v>145</v>
      </c>
      <c r="C44" s="64" t="s">
        <v>131</v>
      </c>
      <c r="D44" s="65"/>
      <c r="E44" s="61" t="s">
        <v>146</v>
      </c>
      <c r="F44" s="65"/>
      <c r="G44" s="68">
        <f>+'Hoja de trabajo de conversión'!B17/'Hoja de trabajo de conversión'!B4</f>
        <v>0.66183536120899999</v>
      </c>
      <c r="H44" s="68">
        <f>+'Hoja de trabajo de conversión'!G17/'Hoja de trabajo de conversión'!G4</f>
        <v>0.70561879817269157</v>
      </c>
      <c r="I44" s="65"/>
    </row>
    <row r="45" spans="1:9" ht="45" customHeight="1" x14ac:dyDescent="0.25">
      <c r="A45" s="56"/>
      <c r="B45" s="65" t="s">
        <v>147</v>
      </c>
      <c r="C45" s="64" t="s">
        <v>131</v>
      </c>
      <c r="D45" s="65"/>
      <c r="E45" s="61" t="s">
        <v>148</v>
      </c>
      <c r="F45" s="65"/>
      <c r="G45" s="68">
        <f>+'Hoja de trabajo de conversión'!B18/'Hoja de trabajo de conversión'!B17</f>
        <v>1</v>
      </c>
      <c r="H45" s="68">
        <f>+'Hoja de trabajo de conversión'!G18/'Hoja de trabajo de conversión'!G17</f>
        <v>0.80047759928182871</v>
      </c>
      <c r="I45" s="65"/>
    </row>
    <row r="46" spans="1:9" ht="75" customHeight="1" x14ac:dyDescent="0.25">
      <c r="A46" s="56"/>
      <c r="B46" s="65" t="s">
        <v>149</v>
      </c>
      <c r="C46" s="64" t="s">
        <v>143</v>
      </c>
      <c r="D46" s="65"/>
      <c r="E46" s="61" t="s">
        <v>150</v>
      </c>
      <c r="F46" s="65"/>
      <c r="G46" s="66">
        <f>+'Hoja de trabajo de conversión'!B17/'Hoja de trabajo de conversión'!B29</f>
        <v>1.9571394678496892</v>
      </c>
      <c r="H46" s="66">
        <f>+'Hoja de trabajo de conversión'!G17/'Hoja de trabajo de conversión'!G29</f>
        <v>2.3969560345318039</v>
      </c>
      <c r="I46" s="65"/>
    </row>
    <row r="47" spans="1:9" ht="75" hidden="1" customHeight="1" x14ac:dyDescent="0.25">
      <c r="A47" s="56"/>
      <c r="B47" s="65"/>
      <c r="C47" s="64"/>
      <c r="D47" s="65"/>
      <c r="E47" s="61"/>
      <c r="F47" s="65"/>
      <c r="G47" s="66"/>
      <c r="H47" s="66"/>
      <c r="I47" s="65"/>
    </row>
    <row r="48" spans="1:9" ht="75" customHeight="1" x14ac:dyDescent="0.25">
      <c r="A48" s="56"/>
      <c r="B48" s="65" t="s">
        <v>151</v>
      </c>
      <c r="C48" s="64" t="s">
        <v>143</v>
      </c>
      <c r="D48" s="65"/>
      <c r="E48" s="61" t="s">
        <v>152</v>
      </c>
      <c r="F48" s="65"/>
      <c r="G48" s="66">
        <f>+'Hoja de trabajo de conversión'!B19/'Hoja de trabajo de conversión'!B29</f>
        <v>1.1866174347652614</v>
      </c>
      <c r="H48" s="66">
        <f>(+'Hoja de trabajo de conversión'!G19+'Hoja de trabajo de conversión'!G28)/'Hoja de trabajo de conversión'!G29</f>
        <v>1.6415637615207435</v>
      </c>
      <c r="I48" s="65"/>
    </row>
    <row r="49" spans="1:9" ht="60" hidden="1" customHeight="1" x14ac:dyDescent="0.25">
      <c r="A49" s="56"/>
      <c r="B49" s="65"/>
      <c r="C49" s="64"/>
      <c r="D49" s="65"/>
      <c r="E49" s="61"/>
      <c r="F49" s="65"/>
      <c r="G49" s="65"/>
      <c r="H49" s="65"/>
      <c r="I49" s="65"/>
    </row>
    <row r="50" spans="1:9" ht="45" hidden="1" customHeight="1" x14ac:dyDescent="0.25">
      <c r="A50" s="56"/>
      <c r="B50" s="65"/>
      <c r="C50" s="64"/>
      <c r="D50" s="65"/>
      <c r="E50" s="61"/>
      <c r="F50" s="65"/>
      <c r="G50" s="68"/>
      <c r="H50" s="68"/>
      <c r="I50" s="71"/>
    </row>
    <row r="51" spans="1:9" ht="45" hidden="1" customHeight="1" x14ac:dyDescent="0.25">
      <c r="A51" s="56"/>
      <c r="B51" s="65"/>
      <c r="C51" s="64"/>
      <c r="D51" s="65"/>
      <c r="E51" s="61"/>
      <c r="F51" s="65"/>
      <c r="G51" s="66"/>
      <c r="H51" s="66"/>
      <c r="I51" s="71"/>
    </row>
    <row r="52" spans="1:9" ht="30" hidden="1" customHeight="1" x14ac:dyDescent="0.25">
      <c r="A52" s="56"/>
      <c r="B52" s="65"/>
      <c r="C52" s="64"/>
      <c r="D52" s="65"/>
      <c r="E52" s="61"/>
      <c r="F52" s="65"/>
      <c r="G52" s="66"/>
      <c r="H52" s="66"/>
      <c r="I52" s="65"/>
    </row>
    <row r="53" spans="1:9" ht="69.75" hidden="1" customHeight="1" x14ac:dyDescent="0.25">
      <c r="A53" s="56"/>
      <c r="B53" s="65"/>
      <c r="C53" s="64"/>
      <c r="D53" s="65"/>
      <c r="E53" s="61"/>
      <c r="F53" s="65"/>
      <c r="G53" s="89"/>
      <c r="H53" s="89"/>
      <c r="I53" s="71"/>
    </row>
    <row r="54" spans="1:9" ht="45" hidden="1" customHeight="1" x14ac:dyDescent="0.25">
      <c r="A54" s="56"/>
      <c r="B54" s="65"/>
      <c r="C54" s="70"/>
      <c r="D54" s="65"/>
      <c r="E54" s="61"/>
      <c r="F54" s="65"/>
      <c r="G54" s="65"/>
      <c r="H54" s="65"/>
      <c r="I54" s="65"/>
    </row>
    <row r="55" spans="1:9" ht="45" hidden="1" customHeight="1" x14ac:dyDescent="0.25">
      <c r="A55" s="56"/>
      <c r="B55" s="65"/>
      <c r="C55" s="64"/>
      <c r="D55" s="65"/>
      <c r="E55" s="61"/>
      <c r="F55" s="65"/>
      <c r="G55" s="65"/>
      <c r="H55" s="65"/>
      <c r="I55" s="65"/>
    </row>
    <row r="56" spans="1:9" ht="45" hidden="1" customHeight="1" x14ac:dyDescent="0.25">
      <c r="A56" s="56"/>
      <c r="B56" s="65"/>
      <c r="C56" s="64"/>
      <c r="D56" s="65"/>
      <c r="E56" s="61"/>
      <c r="F56" s="65"/>
      <c r="G56" s="65"/>
      <c r="H56" s="65"/>
      <c r="I56" s="65"/>
    </row>
    <row r="57" spans="1:9" ht="45" hidden="1" customHeight="1" x14ac:dyDescent="0.25">
      <c r="A57" s="56"/>
      <c r="B57" s="76"/>
      <c r="C57" s="64"/>
      <c r="D57" s="76"/>
      <c r="E57" s="61"/>
      <c r="F57" s="76"/>
      <c r="G57" s="76"/>
      <c r="H57" s="76"/>
      <c r="I57" s="65"/>
    </row>
    <row r="58" spans="1:9" ht="45" hidden="1" customHeight="1" x14ac:dyDescent="0.25">
      <c r="B58" s="87"/>
      <c r="C58" s="90"/>
      <c r="D58" s="91"/>
      <c r="E58" s="61"/>
      <c r="F58" s="92"/>
      <c r="G58" s="93"/>
      <c r="H58" s="93"/>
    </row>
    <row r="59" spans="1:9" ht="15.75" customHeight="1" x14ac:dyDescent="0.2"/>
    <row r="60" spans="1:9" ht="15.75" customHeight="1" x14ac:dyDescent="0.2"/>
  </sheetData>
  <mergeCells count="1">
    <mergeCell ref="B43:F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Tasas</vt:lpstr>
      <vt:lpstr>Contrato 9312</vt:lpstr>
      <vt:lpstr>Contrato 9311</vt:lpstr>
      <vt:lpstr>Contrato 24606</vt:lpstr>
      <vt:lpstr>ER Inicial</vt:lpstr>
      <vt:lpstr>BG Inicial</vt:lpstr>
      <vt:lpstr>Ajustes convergencia</vt:lpstr>
      <vt:lpstr>Hoja de trabajo de conversión</vt:lpstr>
      <vt:lpstr>Indicadores GF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ARKET OPS;Johana Marcela Ocampo León</dc:creator>
  <cp:lastModifiedBy>Jeanette Zapata M</cp:lastModifiedBy>
  <dcterms:created xsi:type="dcterms:W3CDTF">2015-09-07T14:27:25Z</dcterms:created>
  <dcterms:modified xsi:type="dcterms:W3CDTF">2015-09-17T17:46:24Z</dcterms:modified>
</cp:coreProperties>
</file>